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_Firma\PROJEKTE\Wies\BREITBAND Wies\FÖRDERUNGEN\FFG Leerrohr 2022 Am Anger\Endbericht\"/>
    </mc:Choice>
  </mc:AlternateContent>
  <xr:revisionPtr revIDLastSave="0" documentId="13_ncr:1_{CE76CBAA-A9A9-4037-889A-45A75357E647}" xr6:coauthVersionLast="47" xr6:coauthVersionMax="47" xr10:uidLastSave="{00000000-0000-0000-0000-000000000000}"/>
  <workbookProtection workbookAlgorithmName="SHA-512" workbookHashValue="r+X0DEZ+k0SMmR/Gb0gQsf8Q907zpmCiDXhmK3b6n1wKrFVpHuiJBSax+n99UdsDIf5jdsXuQBhj37bNtaZjRg==" workbookSaltValue="B1BZsr0pd7sb7XzZuWRTKQ==" workbookSpinCount="100000" lockStructure="1"/>
  <bookViews>
    <workbookView xWindow="-28920" yWindow="-120" windowWidth="29040" windowHeight="15720" tabRatio="840" xr2:uid="{B1CA761D-331B-4B3D-90BD-CB73DDF1DEC9}"/>
  </bookViews>
  <sheets>
    <sheet name="(E) Erläuterungen &amp; Ergebnisse" sheetId="7" r:id="rId1"/>
    <sheet name="(A1) Angaben zum Förder-Projekt" sheetId="1" r:id="rId2"/>
    <sheet name="(A2) Angaben Kollokationsfläche" sheetId="9" r:id="rId3"/>
    <sheet name="(Ko) weitere Kostenparameter" sheetId="6" r:id="rId4"/>
    <sheet name="(K1) Kalk. (Leer-)Rohrstrecken" sheetId="2" r:id="rId5"/>
    <sheet name="(K2) Kalk. Glasfaserstrecken" sheetId="3" r:id="rId6"/>
    <sheet name="(K3) Kalk. TLN-Zugang passiv" sheetId="8" r:id="rId7"/>
    <sheet name="(K4) Kalk. TLN-Zugang aktiv"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 l="1"/>
  <c r="G27" i="1"/>
  <c r="G79" i="1"/>
  <c r="G78" i="1"/>
  <c r="E70" i="1" l="1"/>
  <c r="E69" i="1"/>
  <c r="G64" i="1"/>
  <c r="F63" i="1"/>
  <c r="E64" i="1"/>
  <c r="E63" i="1"/>
  <c r="E56" i="1" l="1"/>
  <c r="E57" i="1"/>
  <c r="G51" i="1"/>
  <c r="F50" i="1"/>
  <c r="E51" i="1"/>
  <c r="E50" i="1"/>
  <c r="G36" i="1"/>
  <c r="F35" i="1"/>
  <c r="E36" i="1"/>
  <c r="E35" i="1"/>
  <c r="E41" i="1" l="1"/>
  <c r="F28" i="1" l="1"/>
  <c r="F26" i="1"/>
  <c r="E29" i="1"/>
  <c r="E27" i="1"/>
  <c r="G50" i="2" l="1"/>
  <c r="G29" i="2"/>
  <c r="I19" i="9" l="1"/>
  <c r="G17" i="7" s="1"/>
  <c r="E9" i="4"/>
  <c r="G9" i="4" s="1"/>
  <c r="G23" i="3"/>
  <c r="K63" i="1" l="1"/>
  <c r="J63" i="1"/>
  <c r="E11" i="3" s="1"/>
  <c r="G11" i="3" s="1"/>
  <c r="K50" i="1"/>
  <c r="E39" i="2" s="1"/>
  <c r="G39" i="2" s="1"/>
  <c r="J50" i="1"/>
  <c r="E38" i="2" s="1"/>
  <c r="G38" i="2" s="1"/>
  <c r="K35" i="1"/>
  <c r="J35" i="1"/>
  <c r="K28" i="1"/>
  <c r="J28" i="1"/>
  <c r="K26" i="1"/>
  <c r="J26" i="1"/>
  <c r="F10" i="4"/>
  <c r="F13" i="4" s="1"/>
  <c r="E12" i="4"/>
  <c r="G12" i="4" s="1"/>
  <c r="E11" i="4"/>
  <c r="G11" i="4" s="1"/>
  <c r="E10" i="4"/>
  <c r="F10" i="3"/>
  <c r="F13" i="3" s="1"/>
  <c r="E10" i="3"/>
  <c r="E9" i="3"/>
  <c r="G10" i="4" l="1"/>
  <c r="E13" i="3"/>
  <c r="E17" i="3" s="1"/>
  <c r="F14" i="4"/>
  <c r="F16" i="4"/>
  <c r="F15" i="4"/>
  <c r="E12" i="3"/>
  <c r="G12" i="3" s="1"/>
  <c r="F14" i="3"/>
  <c r="F17" i="3"/>
  <c r="E13" i="4"/>
  <c r="G10" i="3"/>
  <c r="G9" i="3"/>
  <c r="E14" i="3" l="1"/>
  <c r="E14" i="4"/>
  <c r="E16" i="4"/>
  <c r="E15" i="4"/>
  <c r="G13" i="3"/>
  <c r="G13" i="4"/>
  <c r="G14" i="4" l="1"/>
  <c r="G16" i="4"/>
  <c r="G15" i="4"/>
  <c r="G14" i="3"/>
  <c r="G17" i="3"/>
  <c r="E15" i="2"/>
  <c r="E19" i="2"/>
  <c r="E20" i="2"/>
  <c r="G20" i="2" s="1"/>
  <c r="E16" i="2"/>
  <c r="G16" i="2" s="1"/>
  <c r="E11" i="2"/>
  <c r="E12" i="2"/>
  <c r="G12" i="2" s="1"/>
  <c r="K65" i="1"/>
  <c r="J65" i="1"/>
  <c r="K52" i="1"/>
  <c r="J52" i="1"/>
  <c r="J37" i="1"/>
  <c r="J30" i="1"/>
  <c r="F37" i="2"/>
  <c r="F40" i="2" s="1"/>
  <c r="E37" i="2"/>
  <c r="E36" i="2"/>
  <c r="E17" i="2"/>
  <c r="E18" i="2"/>
  <c r="F18" i="2"/>
  <c r="J18" i="1" l="1"/>
  <c r="F41" i="2"/>
  <c r="F44" i="2"/>
  <c r="E40" i="2"/>
  <c r="G37" i="2"/>
  <c r="G36" i="2"/>
  <c r="G17" i="2"/>
  <c r="H29" i="1"/>
  <c r="I29" i="1" s="1"/>
  <c r="H28" i="1"/>
  <c r="I28" i="1" s="1"/>
  <c r="G19" i="2"/>
  <c r="G18" i="2"/>
  <c r="F14" i="2"/>
  <c r="G15" i="2"/>
  <c r="E14" i="2"/>
  <c r="E13" i="2"/>
  <c r="G13" i="2" s="1"/>
  <c r="F10" i="2"/>
  <c r="G11" i="2"/>
  <c r="E10" i="2"/>
  <c r="E9" i="2"/>
  <c r="G80" i="1"/>
  <c r="H79" i="1"/>
  <c r="H78" i="1"/>
  <c r="E41" i="2" l="1"/>
  <c r="E44" i="2"/>
  <c r="G40" i="2"/>
  <c r="E21" i="2"/>
  <c r="F21" i="2"/>
  <c r="F25" i="2" s="1"/>
  <c r="G14" i="2"/>
  <c r="G10" i="2"/>
  <c r="G9" i="2"/>
  <c r="H80" i="1"/>
  <c r="G41" i="2" l="1"/>
  <c r="G44" i="2"/>
  <c r="F22" i="2"/>
  <c r="E22" i="2"/>
  <c r="E25" i="2"/>
  <c r="G21" i="2"/>
  <c r="L10" i="1"/>
  <c r="L13" i="1" s="1"/>
  <c r="G65" i="1"/>
  <c r="F65" i="1"/>
  <c r="E65" i="1"/>
  <c r="H64" i="1"/>
  <c r="I64" i="1" s="1"/>
  <c r="H63" i="1"/>
  <c r="I63" i="1" s="1"/>
  <c r="G52" i="1"/>
  <c r="F52" i="1"/>
  <c r="E52" i="1"/>
  <c r="H51" i="1"/>
  <c r="I51" i="1" s="1"/>
  <c r="H50" i="1"/>
  <c r="I50" i="1" s="1"/>
  <c r="K37" i="1"/>
  <c r="F37" i="1"/>
  <c r="G37" i="1"/>
  <c r="E37" i="1"/>
  <c r="H36" i="1"/>
  <c r="I36" i="1" s="1"/>
  <c r="H35" i="1"/>
  <c r="I35" i="1" s="1"/>
  <c r="H27" i="1"/>
  <c r="I27" i="1" s="1"/>
  <c r="H26" i="1"/>
  <c r="I26" i="1" s="1"/>
  <c r="G30" i="1"/>
  <c r="K30" i="1"/>
  <c r="F30" i="1"/>
  <c r="E30" i="1"/>
  <c r="F29" i="2" l="1"/>
  <c r="E29" i="2"/>
  <c r="F23" i="3"/>
  <c r="E23" i="3"/>
  <c r="E50" i="2"/>
  <c r="F50" i="2"/>
  <c r="L41" i="1"/>
  <c r="L40" i="1"/>
  <c r="L57" i="1"/>
  <c r="L55" i="1"/>
  <c r="L56" i="1"/>
  <c r="L42" i="1"/>
  <c r="L70" i="1"/>
  <c r="L68" i="1"/>
  <c r="L69" i="1"/>
  <c r="K19" i="1"/>
  <c r="G7" i="8"/>
  <c r="G22" i="4"/>
  <c r="E23" i="2"/>
  <c r="E24" i="2"/>
  <c r="G25" i="2"/>
  <c r="F24" i="2"/>
  <c r="F23" i="2"/>
  <c r="G22" i="2"/>
  <c r="H65" i="1"/>
  <c r="I65" i="1" s="1"/>
  <c r="H52" i="1"/>
  <c r="I52" i="1" s="1"/>
  <c r="H37" i="1"/>
  <c r="I37" i="1" s="1"/>
  <c r="H30" i="1"/>
  <c r="I30" i="1" s="1"/>
  <c r="L71" i="1" l="1"/>
  <c r="L58" i="1"/>
  <c r="L43" i="1"/>
  <c r="G24" i="2"/>
  <c r="G23" i="2"/>
  <c r="E15" i="3" l="1"/>
  <c r="E16" i="3"/>
  <c r="E43" i="2"/>
  <c r="E42" i="2"/>
  <c r="F42" i="2"/>
  <c r="F43" i="2"/>
  <c r="G16" i="3"/>
  <c r="G15" i="3"/>
  <c r="G43" i="2"/>
  <c r="G42" i="2"/>
  <c r="F15" i="3"/>
  <c r="F16" i="3"/>
  <c r="F18" i="3" l="1"/>
  <c r="G26" i="2"/>
  <c r="G30" i="2" s="1"/>
  <c r="F26" i="2"/>
  <c r="G17" i="4"/>
  <c r="E17" i="4"/>
  <c r="G45" i="2"/>
  <c r="E45" i="2"/>
  <c r="F17" i="4"/>
  <c r="F45" i="2"/>
  <c r="E18" i="3"/>
  <c r="E26" i="2"/>
  <c r="E30" i="2" s="1"/>
  <c r="G18" i="3"/>
  <c r="F30" i="2" l="1"/>
  <c r="F31" i="2" s="1"/>
  <c r="F48" i="2" s="1"/>
  <c r="F49" i="2" s="1"/>
  <c r="E31" i="2"/>
  <c r="E48" i="2" s="1"/>
  <c r="E49" i="2" s="1"/>
  <c r="E51" i="2" s="1"/>
  <c r="G31" i="2"/>
  <c r="G48" i="2" s="1"/>
  <c r="G49" i="2" s="1"/>
  <c r="G51" i="2" s="1"/>
  <c r="F51" i="2" l="1"/>
  <c r="F52" i="2" s="1"/>
  <c r="G52" i="2"/>
  <c r="E7" i="7"/>
  <c r="E8" i="7" s="1"/>
  <c r="E52" i="2"/>
  <c r="F7" i="7" l="1"/>
  <c r="F8" i="7" s="1"/>
  <c r="G21" i="3"/>
  <c r="G22" i="3" s="1"/>
  <c r="G24" i="3" s="1"/>
  <c r="F21" i="3"/>
  <c r="F22" i="3" s="1"/>
  <c r="E21" i="3"/>
  <c r="E22" i="3" s="1"/>
  <c r="F24" i="3" l="1"/>
  <c r="E24" i="3"/>
  <c r="G26" i="3"/>
  <c r="G25" i="3"/>
  <c r="F26" i="3" l="1"/>
  <c r="F6" i="8" s="1"/>
  <c r="F25" i="3"/>
  <c r="F11" i="7" s="1"/>
  <c r="F12" i="7" s="1"/>
  <c r="F9" i="7"/>
  <c r="F10" i="7" s="1"/>
  <c r="E26" i="3"/>
  <c r="E6" i="8" s="1"/>
  <c r="E25" i="3"/>
  <c r="E11" i="7" s="1"/>
  <c r="E12" i="7" s="1"/>
  <c r="E9" i="7"/>
  <c r="E10" i="7" s="1"/>
  <c r="G20" i="4"/>
  <c r="G21" i="4" s="1"/>
  <c r="G6" i="8"/>
  <c r="F20" i="4" l="1"/>
  <c r="F21" i="4" s="1"/>
  <c r="E20" i="4"/>
  <c r="E21" i="4" s="1"/>
  <c r="G8" i="8"/>
  <c r="G13" i="7" s="1"/>
  <c r="G14" i="7" s="1"/>
  <c r="G23" i="4"/>
  <c r="G15" i="7" s="1"/>
  <c r="G16" i="7" s="1"/>
</calcChain>
</file>

<file path=xl/sharedStrings.xml><?xml version="1.0" encoding="utf-8"?>
<sst xmlns="http://schemas.openxmlformats.org/spreadsheetml/2006/main" count="466" uniqueCount="249">
  <si>
    <r>
      <rPr>
        <b/>
        <sz val="9"/>
        <color rgb="FFFF0000"/>
        <rFont val="Arial"/>
        <family val="2"/>
      </rPr>
      <t xml:space="preserve">Hinweis
</t>
    </r>
    <r>
      <rPr>
        <sz val="9"/>
        <rFont val="Arial"/>
        <family val="2"/>
      </rPr>
      <t xml:space="preserve">Die Entgelte orientieren sich grundlegend an denen des aktuellen Immobilien-Preisspiegels der WKO in der Kategorie "Büroflächen - Mieten" nach dem Zustand "Nebenlage - neuwertig".
</t>
    </r>
  </si>
  <si>
    <t>Kostenparameter</t>
  </si>
  <si>
    <t>Anmerkungen:</t>
  </si>
  <si>
    <t>Anzahl</t>
  </si>
  <si>
    <t>Länge</t>
  </si>
  <si>
    <t>[Meter]</t>
  </si>
  <si>
    <t>[EUR]</t>
  </si>
  <si>
    <t>[EUR/m]</t>
  </si>
  <si>
    <t>förderbare
 Investitionskosten</t>
  </si>
  <si>
    <t>nichtförderbare
Investitionskosten</t>
  </si>
  <si>
    <t>Durchschnitts-
kosten (ungefördert)</t>
  </si>
  <si>
    <t>Plausibilitätscheck</t>
  </si>
  <si>
    <t>Verlegte Telekominfrastruktur</t>
  </si>
  <si>
    <t>Investitionskosten gesamt</t>
  </si>
  <si>
    <t>Gesamtlänge und Kosten für Abschnitte, die in Form einer Mitverlegung ggf. mit anderen Infrastrukturen (z.B. Strom, Straßenbau) oder anderen TK-Netzen erfolgt.</t>
  </si>
  <si>
    <t>Pos</t>
  </si>
  <si>
    <t>P1.1</t>
  </si>
  <si>
    <t>P1.2</t>
  </si>
  <si>
    <t>P1.3</t>
  </si>
  <si>
    <t>P2.1</t>
  </si>
  <si>
    <t>P2.2</t>
  </si>
  <si>
    <t>P2.3</t>
  </si>
  <si>
    <t>P2.4</t>
  </si>
  <si>
    <t>Rohre</t>
  </si>
  <si>
    <t>durchschnittliche Anzahl verlegte Rohre je Meter Tiefbau</t>
  </si>
  <si>
    <t>P3.1</t>
  </si>
  <si>
    <t>P3.2</t>
  </si>
  <si>
    <t>durchschnittliche Anzahl freier Rohre je Meter Tiefbau</t>
  </si>
  <si>
    <t>Nutzung der Rohre</t>
  </si>
  <si>
    <t>Mikrorohre</t>
  </si>
  <si>
    <r>
      <t>Durchschnittliche Anzahl selbst genutzte oder reservierte Länge an Rohren/Kabelschutzrohren/Hüllrohren oder Rohren als Bestandteil von Kabelkanalanlagen etc. 
(</t>
    </r>
    <r>
      <rPr>
        <i/>
        <sz val="10"/>
        <rFont val="Symbol"/>
        <family val="1"/>
        <charset val="2"/>
      </rPr>
      <t>S</t>
    </r>
    <r>
      <rPr>
        <i/>
        <sz val="10"/>
        <rFont val="Arial"/>
        <family val="2"/>
      </rPr>
      <t>[Grabungsllängen mal Anzahl selbst genutzer Rohre])</t>
    </r>
  </si>
  <si>
    <r>
      <t>Durchschnittliche Anzahl von Dritten genutzte Rohre/Kabelschutzrohre/Hüllrohre oder Rohre als Bestandteil von Kabelkanalanlagen etc. 
(</t>
    </r>
    <r>
      <rPr>
        <i/>
        <sz val="10"/>
        <rFont val="Symbol"/>
        <family val="1"/>
        <charset val="2"/>
      </rPr>
      <t>S</t>
    </r>
    <r>
      <rPr>
        <i/>
        <sz val="10"/>
        <rFont val="Arial"/>
        <family val="2"/>
      </rPr>
      <t>[Grabungsllängen mal Anzahl von Dritten genutzer Rohre])</t>
    </r>
  </si>
  <si>
    <t xml:space="preserve">LÄNGE: Gesamte Grabungslänge des geförderten Ausbaus im Förderprojekt (unabhängig von der Verlegemethode);
KOSTEN dafür: Investitionskosten für Grabung inkl. Wiederherstellung der Oberfläche; </t>
  </si>
  <si>
    <t>LÄNGE: Gesamte Grabungslänge des nichtgeförderten Ausbaus im Förderprojekt (unabhängig von der Verlegemethode); 
KOSTEN dafür: Investitionskosten für Grabung inkl. Wiederherstellung der Oberfläche;</t>
  </si>
  <si>
    <t>Nutzung der Mikrorohre</t>
  </si>
  <si>
    <t>P3.3</t>
  </si>
  <si>
    <t>P3.4</t>
  </si>
  <si>
    <r>
      <t>Durchschnittliche Anzahl von Dritten genutzte Mikrorohre 
(</t>
    </r>
    <r>
      <rPr>
        <i/>
        <sz val="10"/>
        <rFont val="Symbol"/>
        <family val="1"/>
        <charset val="2"/>
      </rPr>
      <t>S</t>
    </r>
    <r>
      <rPr>
        <i/>
        <sz val="10"/>
        <rFont val="Arial"/>
        <family val="2"/>
      </rPr>
      <t>[Grabungsllängen mal Anzahl von Dritten genutzer Rohre])</t>
    </r>
  </si>
  <si>
    <r>
      <t>Durchschnittliche Anzahl selbst genutzte oder reservierte Länge an Mikrorohren 
(</t>
    </r>
    <r>
      <rPr>
        <i/>
        <sz val="10"/>
        <rFont val="Symbol"/>
        <family val="1"/>
        <charset val="2"/>
      </rPr>
      <t>S</t>
    </r>
    <r>
      <rPr>
        <i/>
        <sz val="10"/>
        <rFont val="Arial"/>
        <family val="2"/>
      </rPr>
      <t>[Grabungsllängen mal Anzahl selbst genutzer Rohre])</t>
    </r>
  </si>
  <si>
    <t>durchschnittliche Anzahl verlegte Mikrorohre je Meter Tiefbau</t>
  </si>
  <si>
    <t>durchschnittliche Anzahl freier Mikrorohre je Meter Tiefbau</t>
  </si>
  <si>
    <t>Fasern</t>
  </si>
  <si>
    <t>Summe gesamte Fasernlänge</t>
  </si>
  <si>
    <t>P4.1</t>
  </si>
  <si>
    <t>P4.2</t>
  </si>
  <si>
    <t>Nutzung der Fasern</t>
  </si>
  <si>
    <t>durchschnittliche Anzahl verlegte Fasern je Meter Tiefbau</t>
  </si>
  <si>
    <t>durchschnittliche Anzahl freier Fasern je Meter Tiefbau</t>
  </si>
  <si>
    <t>geplante Take-Up Rate</t>
  </si>
  <si>
    <t>P0.1</t>
  </si>
  <si>
    <t>P0.2</t>
  </si>
  <si>
    <t>P0.3</t>
  </si>
  <si>
    <t>Kapitalkosten (WACC)</t>
  </si>
  <si>
    <t>Kosten pro Jahr als %-Satz vom Invest</t>
  </si>
  <si>
    <t>aktives Equipment</t>
  </si>
  <si>
    <t>P4.3</t>
  </si>
  <si>
    <t>P4.4</t>
  </si>
  <si>
    <t>P5.1</t>
  </si>
  <si>
    <t>P5.2</t>
  </si>
  <si>
    <t>aktives Equipment im 
geförderten Gebiet des Förderprojekts</t>
  </si>
  <si>
    <t>aktives Equipment im 
nichtgeförderten Gebiet des Förderprojekts</t>
  </si>
  <si>
    <t>KOSTEN: Investitionskosten für Material sowie Installation und Inbetriebnahme</t>
  </si>
  <si>
    <t>Tiefbau</t>
  </si>
  <si>
    <t>Umfang und Bedeutung des Förderprojekts</t>
  </si>
  <si>
    <t>Basisdaten zum Förder-Projekt</t>
  </si>
  <si>
    <t>wirtschaftliche Nutzungsdauer</t>
  </si>
  <si>
    <t>Jahre</t>
  </si>
  <si>
    <t>Abschreibung p.a.</t>
  </si>
  <si>
    <t>Kapitalkosten p.a.</t>
  </si>
  <si>
    <t>Wartung &amp; Instandhaltung p.a.</t>
  </si>
  <si>
    <t>P1.4</t>
  </si>
  <si>
    <t>im geförderten Gebiet des Förderprojekts</t>
  </si>
  <si>
    <t>im nichtgeförderten Gebiet des Förderprojekts</t>
  </si>
  <si>
    <t>Gesamt</t>
  </si>
  <si>
    <t>Mitverlegung</t>
  </si>
  <si>
    <t>jährliche Kosten Tiefbau</t>
  </si>
  <si>
    <t>Tiefbauarbeiten</t>
  </si>
  <si>
    <t>Summe über die gesamte Länge, auf der Verlegung erfolgt</t>
  </si>
  <si>
    <t>Summe über die gesamte Länge von Rohren</t>
  </si>
  <si>
    <t>Summe über die gesamte Länge von Mikrorohren</t>
  </si>
  <si>
    <t>Summe über die gesamte Fasernlänge</t>
  </si>
  <si>
    <t>Kalkulation der Vorleistungspreise für die Mitbenutzung von (Leer-)Rohrstrecken</t>
  </si>
  <si>
    <t>In diesem Tabellenbaltt erfolgt die Darstellung der Berechnung, Daten sind hier keine einzugeben!</t>
  </si>
  <si>
    <t>Förderbetrag Bund</t>
  </si>
  <si>
    <t>Förderbetrag weitere</t>
  </si>
  <si>
    <t>jährliche Kosten Mikrorohre</t>
  </si>
  <si>
    <t>jährliche Kosten Fasern</t>
  </si>
  <si>
    <t>Kalkulation der Vorleistungspreise für TLN-Zugang passiv</t>
  </si>
  <si>
    <t>Investitionsumme aktives Equipment</t>
  </si>
  <si>
    <t>jährliche Kosten aktives Equipment</t>
  </si>
  <si>
    <t>Kalkulation der Vorleistungspreise für die Mitbenutzung von Glasfaserstrecken</t>
  </si>
  <si>
    <r>
      <t xml:space="preserve">Länge der Fasern, die anderen TK-Unternehmen im Rahmen der </t>
    </r>
    <r>
      <rPr>
        <b/>
        <sz val="11"/>
        <color theme="1"/>
        <rFont val="Calibri"/>
        <family val="2"/>
        <scheme val="minor"/>
      </rPr>
      <t>Mitbenutzung</t>
    </r>
    <r>
      <rPr>
        <sz val="11"/>
        <color theme="1"/>
        <rFont val="Calibri"/>
        <family val="2"/>
        <scheme val="minor"/>
      </rPr>
      <t xml:space="preserve"> überlassen werden</t>
    </r>
  </si>
  <si>
    <r>
      <t xml:space="preserve">Länge der Mikrorohre, die anderen TK-Unternehmen im Rahmen der </t>
    </r>
    <r>
      <rPr>
        <b/>
        <sz val="11"/>
        <color theme="1"/>
        <rFont val="Calibri"/>
        <family val="2"/>
        <scheme val="minor"/>
      </rPr>
      <t>Mitbenutzung</t>
    </r>
    <r>
      <rPr>
        <sz val="11"/>
        <color theme="1"/>
        <rFont val="Calibri"/>
        <family val="2"/>
        <scheme val="minor"/>
      </rPr>
      <t xml:space="preserve"> überlassen werden</t>
    </r>
  </si>
  <si>
    <r>
      <t xml:space="preserve">Länge der </t>
    </r>
    <r>
      <rPr>
        <b/>
        <sz val="11"/>
        <color theme="1"/>
        <rFont val="Calibri"/>
        <family val="2"/>
        <scheme val="minor"/>
      </rPr>
      <t>selbst genutzten</t>
    </r>
    <r>
      <rPr>
        <sz val="11"/>
        <color theme="1"/>
        <rFont val="Calibri"/>
        <family val="2"/>
        <scheme val="minor"/>
      </rPr>
      <t xml:space="preserve"> Mikrorohre</t>
    </r>
  </si>
  <si>
    <r>
      <t xml:space="preserve">Länge der </t>
    </r>
    <r>
      <rPr>
        <b/>
        <sz val="11"/>
        <color theme="1"/>
        <rFont val="Calibri"/>
        <family val="2"/>
        <scheme val="minor"/>
      </rPr>
      <t>selbst genutzten</t>
    </r>
    <r>
      <rPr>
        <sz val="11"/>
        <color theme="1"/>
        <rFont val="Calibri"/>
        <family val="2"/>
        <scheme val="minor"/>
      </rPr>
      <t xml:space="preserve"> Fasern</t>
    </r>
  </si>
  <si>
    <t>weitere Kostenparameter</t>
  </si>
  <si>
    <t>reguläre Kostenparameter</t>
  </si>
  <si>
    <t>geförderte Tiefbauarbeiten im 
Gebiet des Förderprojekts</t>
  </si>
  <si>
    <t>geförderte Mitverlegung im 
 Gebiet des Förderprojekts</t>
  </si>
  <si>
    <t>nichtgeförderte Tiefbauarbeiten im 
Gebiet des Förderprojekts (Bestand und eigenwirtschaftlicher Ausbau)</t>
  </si>
  <si>
    <t>nichtgeförderte Mitverlegung im 
Gebiet des Förderprojekts (Bestand und eigenwirtschaftlicher Ausbau)</t>
  </si>
  <si>
    <t>Anschlussförderungen (z.B. Land)</t>
  </si>
  <si>
    <t>Förderquote Bund (FFG)</t>
  </si>
  <si>
    <t>gefördert verlegte Rohre im 
Gebiet des Förderprojekts</t>
  </si>
  <si>
    <t>nichtgefördert verlegte Rohre im 
Gebiet des Förderprojekts</t>
  </si>
  <si>
    <t>gefördert verlegte Mikrorohre im 
Gebiet des Förderprojekts</t>
  </si>
  <si>
    <t>nichtgefördert verlegte Mikrorohre im  Gebiet des Förderprojekts</t>
  </si>
  <si>
    <t>gefördert verlegte Fasern im 
Gebiet des Förderprojekts</t>
  </si>
  <si>
    <t>nichtgefördert verlegte Fasern im  Gebiet des Förderprojekts</t>
  </si>
  <si>
    <t>Tiefbau, Rohre, Mikrorohre</t>
  </si>
  <si>
    <t>Kabel (Fasern)</t>
  </si>
  <si>
    <t>P0.4</t>
  </si>
  <si>
    <t>P0.5</t>
  </si>
  <si>
    <t>Förderbetrag Bund (FFG)</t>
  </si>
  <si>
    <t>Förderbetrag Anschluss-
förderung</t>
  </si>
  <si>
    <t>Summe Anzahl zukünftig angeschlossener Haushalte bzw. Anschlussobjekte (homes connected)</t>
  </si>
  <si>
    <t>Verlegung</t>
  </si>
  <si>
    <t>LÄNGE: Gesamte gefördert verlegte Länge von Rohren/Kabelschutzrohren/Hüllrohren oder Rohren als Bestandteil von Kabelkanalanlagen etc. im Förderprojekt (auf Tiefbaustrecken Pos P1.1 und P1.3) (entspricht der Summe aus den einzelnen Grabungslängen mal Anzahl der Rohre je Abschnitt; Bsp: bei einer durchgängigen Verlegung von 2 Rohren ist entspricht die Rohrlänge dem doppelten der Länge des Tiefbaus aus P1.1 und P1.3)
KOSTEN dafür: Investitionskosten für Material und Einbringung in Graben/Künette etc.</t>
  </si>
  <si>
    <t>LÄNGE: Gesamte nichtgefördert verlegte Länge von Rohren/Kabelschutzrohren/Hüllrohren oder Rohren als Bestandteil von Kabelkanalanlagen etc. im Förderprojekt (auf Tiefbaustrecken Pos P1.2 und P1.4) (entspricht der Summe aus den einzelnen Grabungslängen mal Anzahl der Rohre je Abschnitt; Bsp: bei einer durchgängigen Verlegung von 2 Rohren ist entspricht die Rohrlänge dem doppelten der Länge des Tiefbaus aus P1.2 und P1.4)
KOSTEN dafür: Investitionskosten für Material und Einbringung in Graben/Künette etc.</t>
  </si>
  <si>
    <r>
      <t xml:space="preserve">LÄNGE: Gesamte gefördert verlegte Länge von Glasfasern im Förderprojekt (entspricht der Summe aus den Längen je Kabeldimension mal Anzahl der Fasern im jeweiligen Kabel = </t>
    </r>
    <r>
      <rPr>
        <i/>
        <sz val="10"/>
        <rFont val="Symbol"/>
        <family val="1"/>
        <charset val="2"/>
      </rPr>
      <t>S</t>
    </r>
    <r>
      <rPr>
        <i/>
        <sz val="10"/>
        <rFont val="Arial"/>
        <family val="2"/>
      </rPr>
      <t>[Kabellänge je Dim mal Anzahl Fasern]); Bsp:  bei einer durchgängigen Verlegung eines Kabels mit 48 Fasern und eines Kabels mit 12 Fasern entspricht die Faserlänge dem sechzigfachen der Länge des Tiefbaus aus P1.1 und P1.3)
KOSTEN: Investitionskosten für Material und Einbringung in Rohre/Mikrorohre oder Graben/Künette etc.</t>
    </r>
  </si>
  <si>
    <r>
      <t xml:space="preserve">LÄNGE: Gesamte nichtgefördert verlegte Länge von Glasfasern im Förderprojekt (entspricht der Summe aus den Längen je Kabeldimension mal Anzahl der Fasern im jeweiligen Kabel = </t>
    </r>
    <r>
      <rPr>
        <i/>
        <sz val="10"/>
        <rFont val="Symbol"/>
        <family val="1"/>
        <charset val="2"/>
      </rPr>
      <t>S</t>
    </r>
    <r>
      <rPr>
        <i/>
        <sz val="10"/>
        <rFont val="Arial"/>
        <family val="2"/>
      </rPr>
      <t>[Kabellänge je Dim mal Anzahl Fasern]); Bsp:  bei einer durchgängigen Verlegung eines Kabels mit 48 Fasern und eines Kabels mit 12 Fasern entspricht die Faserlänge dem sechzigfachen der Länge des Tiefbaus aus P1.2 und P1.4)
KOSTEN: Investitionskosten für Material und Einbringung in Rohre/Mikrorohre oder Graben/Künette etc.</t>
    </r>
  </si>
  <si>
    <t>https://www.berec.europa.eu/en/document-categories/berec/reports/berec-report-on-wacc-parameter-calculations-according-to-the-european-commissions-wacc-notice-of-6th-november-2019-wacc-parameters-report-2023</t>
  </si>
  <si>
    <t>auf das durchschnittlich gebundene Kapital</t>
  </si>
  <si>
    <t>Investitionsumme Tiefbau (ungefördert)</t>
  </si>
  <si>
    <t>Investitionsumme Tiefbau abzüglich Förderungen</t>
  </si>
  <si>
    <t>Investitionsumme Mikrorohre (ungefördert)</t>
  </si>
  <si>
    <t>Investitionsumme Mikrorohre abzüglich Förderungen</t>
  </si>
  <si>
    <r>
      <t xml:space="preserve">Länge der </t>
    </r>
    <r>
      <rPr>
        <b/>
        <sz val="11"/>
        <color theme="1"/>
        <rFont val="Calibri"/>
        <family val="2"/>
        <scheme val="minor"/>
      </rPr>
      <t xml:space="preserve">selbst genutzten </t>
    </r>
    <r>
      <rPr>
        <sz val="11"/>
        <color theme="1"/>
        <rFont val="Calibri"/>
        <family val="2"/>
        <scheme val="minor"/>
      </rPr>
      <t>Rohre im Gebiet des Förderprojekts</t>
    </r>
  </si>
  <si>
    <r>
      <t xml:space="preserve">Länge der Rohre im Gebiet des Förderprojekts, die anderen TK-Unternehmen im Rahmen der </t>
    </r>
    <r>
      <rPr>
        <b/>
        <sz val="11"/>
        <color theme="1"/>
        <rFont val="Calibri"/>
        <family val="2"/>
        <scheme val="minor"/>
      </rPr>
      <t>Mitbenutzung</t>
    </r>
    <r>
      <rPr>
        <sz val="11"/>
        <color theme="1"/>
        <rFont val="Calibri"/>
        <family val="2"/>
        <scheme val="minor"/>
      </rPr>
      <t xml:space="preserve"> überlassen werden</t>
    </r>
  </si>
  <si>
    <t>jährliche Kosten Mikorrohre inkl. Tiefbau</t>
  </si>
  <si>
    <t>Übertrag anteilige jährliche Kosten Tiefbau für Mikrorohre</t>
  </si>
  <si>
    <t>jährliche Kosten Tiefbau pro Meter Rohr</t>
  </si>
  <si>
    <t>jährliche Kosten Mikorrohre inkl. Tiefbau pro Meter Mikrorohr</t>
  </si>
  <si>
    <t>anteilige jährliche Kosten Tiefbau für Mikrorohre</t>
  </si>
  <si>
    <t>anteilige jährliche Kosten Mikrorohr inkl. Tiefbau für Glasfaser (K2)</t>
  </si>
  <si>
    <t>jährliche Kosten Fasern inkl.  Mikorrohre und Tiefbau</t>
  </si>
  <si>
    <t>jährliche Kosten Faser inkl.  Mikorrohre und Tiefbau pro Meter Faser</t>
  </si>
  <si>
    <t>jährliche Kosten Doppelfaser inkl.  Mikorrohre und Tiefbau pro Meter Faser</t>
  </si>
  <si>
    <t>Länge genutzte Rohre [m]</t>
  </si>
  <si>
    <t>Länge genutzte Mikrorohre [m]</t>
  </si>
  <si>
    <t>Länge genutzte Fasern [m]</t>
  </si>
  <si>
    <t>Anzahl Teilnehmer (homes connected)</t>
  </si>
  <si>
    <t>Investitionsumme Fasern abzüglich Förderungen</t>
  </si>
  <si>
    <t>Investitionsumme Fasern (ungefördert)</t>
  </si>
  <si>
    <t>jährliche Kosten passiver Zugang pro Teilnehmer [Doppelfaser und Einzelfaser]</t>
  </si>
  <si>
    <t>Übertrag anteilige jährliche Kosten Fasern inkl. Mikrorohr und Tiefbau für TLN-Zugang aktiv und passiv aus (K2)</t>
  </si>
  <si>
    <t>Übertrag anteilige jährliche Kosten Mikrorohr inkl. Tiefbau für Glasfaser  aus (K1)</t>
  </si>
  <si>
    <t>Kalkulation der Vorleistungspreise für TLN-Zugang aktiv</t>
  </si>
  <si>
    <t>jährliche Kosten aktiver Zugang</t>
  </si>
  <si>
    <t>Teilnehmerzugang passiv (K3)</t>
  </si>
  <si>
    <t>Mitbenutzung Glasfaserstrecken (K2)</t>
  </si>
  <si>
    <t>Mitbenutzung (Leer-)Rohrstrecken (K1)</t>
  </si>
  <si>
    <t>K1</t>
  </si>
  <si>
    <t>K2</t>
  </si>
  <si>
    <t>K3</t>
  </si>
  <si>
    <t>K4</t>
  </si>
  <si>
    <t>Entgelt pro Teilnehmer und Jahr</t>
  </si>
  <si>
    <t>Entgelt pro Teilnehmer und Monat</t>
  </si>
  <si>
    <t>Entgelt pro Laufmeter Rohr und Jahr</t>
  </si>
  <si>
    <t>Entgelt pro Laufmeter Rohr und Monat</t>
  </si>
  <si>
    <t>Entgelt pro Laufmeter Glasfaser und Jahr</t>
  </si>
  <si>
    <t>Entgelt pro Laufmeter Glasfaser und Monat</t>
  </si>
  <si>
    <t>Entgelt pro Laufmeter Doppelfaser und Jahr</t>
  </si>
  <si>
    <t>Entgelt pro Laufmeter Doppelfaser und Monat</t>
  </si>
  <si>
    <t>im gesamten Gebiet des Förderprojekts</t>
  </si>
  <si>
    <t>jährliche Kosten aktiver Zugang pro Teilnehmer</t>
  </si>
  <si>
    <t>Erläuterungen und Ergebnisse</t>
  </si>
  <si>
    <t>Teilnehmerzugang aktiv (K4)</t>
  </si>
  <si>
    <t>Zugang zu unbeschalteter Glasfaser (LWL-Faser): Entgelt pro Laufmeter</t>
  </si>
  <si>
    <t>Zugang zu Leerrohren: Entgelt pro Laufmeter</t>
  </si>
  <si>
    <t>Kalkulation der Vorleistungspreise für Kollokationsfläche</t>
  </si>
  <si>
    <t>Kollokation</t>
  </si>
  <si>
    <t>Bezirk</t>
  </si>
  <si>
    <t>Postleitzahl</t>
  </si>
  <si>
    <t>(E) Erläuterungen &amp; Ergebnisse</t>
  </si>
  <si>
    <t>Hier werden die Berechnungsergebnisse sowie Erklärungen zur Befüllung des EXCEL-Files angegeben</t>
  </si>
  <si>
    <t>Tabellenblätter:</t>
  </si>
  <si>
    <t>Hier erfolgt die Eingabe von Basisdaten zum Förderprojekt</t>
  </si>
  <si>
    <t>In diesem Tabellenblatt erfolgt die Darstellung der vorgegebenen Kostenparameter zu Kapitalkosten, Wartung und Instandhaltung, Daten sind hier keine einzugeben!</t>
  </si>
  <si>
    <t>Kalkulation der Vorleistungspreise für die Mitbenutzung von Glasfaserstrecken (Zugang zu unbeschalteter Glasfaser (LWL-Faser): Entgelt pro Laufmeter)</t>
  </si>
  <si>
    <t>Kalkulation der Vorleistungspreise für die Mitbenutzung von (Leer-)Rohrstrecken (Zugang zu Leerrohren: Entgelt pro Laufmeter)</t>
  </si>
  <si>
    <t>Hier erfolgt die Eingabe von Daten zur Kollokation</t>
  </si>
  <si>
    <t>Sofern ein Teil der Tiefbaumaßnahmen in Form einer gemeinsamen Verlegung (Mitverlegung) mit anderen Infrastrukturen (z.B. Strom, Abwasser) oder im Zuge einer umfassenden Straßensanierung oder gemeinsam mit einem anderen Telekommunikationsnetzbetreiber erfolgt sein sollte, so sind diese Längen und anteilige Kosten (analog zu P1.1, P1.2) gesondert unter dieser Position auszuweisen.</t>
  </si>
  <si>
    <t>Ins Förderprojekt eingebrachte neue oder bereits bestehende Infrastruktur (Bestand und eigenwirtschaftlicher Ausbau) ist mit Kosten und zugehörenden Mengen (Längen) unter den entsprechenden Positionen zu berücksichtigen (P1.2, P2.2, P2.3, P2.4, P3.2, P3.3, P3.4, P4.2, P4.3, P4.4, P5.2)</t>
  </si>
  <si>
    <t>A</t>
  </si>
  <si>
    <t>Rohre, Schutzrohre, Hüllrohre (z.B. PE-Rohre), die einzeln oder paarweise (fallweise auch mehr) direkt in die Erde verlegt werden oder Rohre als Bestandteil von (ggf. mehrzügigen) Kabelkanalanlagen. Diese Rohre sind in der Regel nicht notwendigerweise gegen eindringendes (drückendes) Wasser geschützt und dienen üblicherweise der Aufnahme von Erdkabeln oder Minirohrverbänden, Microducts etc. Von den Kosten (Material und Arbeit) umfasst ist auch das Einbringen der Rohre in einen Graben/Künette etc..</t>
  </si>
  <si>
    <t>Die Angabe der Werte hat übereinstimmend mit den Daten im WEG-GIS zu erfolgen.</t>
  </si>
  <si>
    <t>Multirohrverbände/Microducts/Minirohre etc., die entweder in Rohre (Pos P2.1, P2.2) eingebracht werden oder direkt erdverlegt (Pos P1.1 und P1.3 bzw. P1.2 und P1.4)</t>
  </si>
  <si>
    <t>Alle Felder in der Farbe gelb sind entsprechend zu befüllen</t>
  </si>
  <si>
    <t>Ergebnisse der Berechnungen zu den Vorleistungspreisen für Förderprojekte</t>
  </si>
  <si>
    <t xml:space="preserve">Erläuterungen / Ausfüllinformation: </t>
  </si>
  <si>
    <t>(K3) Kalkulation TLN-Zugang passiv</t>
  </si>
  <si>
    <t>(K4) Kalkulation TLN-Zugang aktiv</t>
  </si>
  <si>
    <t>(K2) Kalkulation Glasfaserstrecken</t>
  </si>
  <si>
    <t>(K1) Kalkulation (Leer-)Rohrstrecken</t>
  </si>
  <si>
    <t>(Ko) weitere Kostenparameter (fix vorgegeben)</t>
  </si>
  <si>
    <t>(A1) Angaben zum Förder-Projekt</t>
  </si>
  <si>
    <t>Die Ergebnisse der einzelnen Kalkulationen werden aus den entsprechenden Tabellenblättern (K1-K4) übernommen und sind oben in den orangen Feldern dargestellt.</t>
  </si>
  <si>
    <t>anteilige jährliche Kosten Fasern inkl. Mikrorohr und Tiefbau für TLN-Zugang passiv (K3) und aktiv (K4)</t>
  </si>
  <si>
    <t>Ortszenzetrale 1</t>
  </si>
  <si>
    <t xml:space="preserve">Entgelt pro m2 </t>
  </si>
  <si>
    <t>Ort</t>
  </si>
  <si>
    <t>Standort der Kollokationsfläche</t>
  </si>
  <si>
    <t>Gemeinde</t>
  </si>
  <si>
    <t>Ortszenzetrale 2</t>
  </si>
  <si>
    <t>Ortszenzetrale 3</t>
  </si>
  <si>
    <t>Ortszenzetrale 4</t>
  </si>
  <si>
    <t>Ortszenzetrale 5</t>
  </si>
  <si>
    <t>Ortszenzetrale 6</t>
  </si>
  <si>
    <t>Ortszenzetrale 7</t>
  </si>
  <si>
    <t>Ortszenzetrale 8</t>
  </si>
  <si>
    <t>Ortszenzetrale 9</t>
  </si>
  <si>
    <t>Ortszenzetrale 10</t>
  </si>
  <si>
    <t>Summe Förderbetrag wird aus der Förderquote und den einzelnen Positionen errechnet</t>
  </si>
  <si>
    <t>Anschlüsse</t>
  </si>
  <si>
    <t>Förderungen</t>
  </si>
  <si>
    <t>Anzahl erreichbare Haushalte und betriebliche Objekte (homes passed) im 
geförderten Gebiet des Förderprojekts</t>
  </si>
  <si>
    <t>Anzahl erreichbare Haushalte und betriebliche Objekte (homes passed) im 
nichtgeförderten Gebiet des Förderprojekts</t>
  </si>
  <si>
    <t>Summe</t>
  </si>
  <si>
    <t>Mittelwert</t>
  </si>
  <si>
    <t>A2</t>
  </si>
  <si>
    <t>Kollokationsflächen (A2)</t>
  </si>
  <si>
    <t>monatliches</t>
  </si>
  <si>
    <t>Entgelt pro Quadratmeter und Monat</t>
  </si>
  <si>
    <t>Tiefbauarbeiten umfassen hier sämtliche Verlegemethoden wie offene Künette, Pflugverfahren, Trenching etc. Von den Kosten (Material und Arbeit) umfasst sind neben Grabungsarbeiten (Absicherung, Aushub, Verführen) auch sämtliche Kosten im Zusammenhang mit Sandbettung, Warnband, Verfüllen, Verdichten, Wiederherstellung der Oberfläche (ggf. Asphaltdecke, Pflasterung etc.) sowie anteilige Kosten der Baustelleneinrichtung sowie des Projektmanagements und der Dokumentation. Alle Werte zu Kosten haben dem Kostenpauschalmodell zu entsprechen. Weiters sind im Sinne des § 65 TKG auch Einmalkosten für die Inanspruchnahme von Leitungsrechten anzusetzen.</t>
  </si>
  <si>
    <t>Hier ist die Förderquote aus der Bundesförderung (Abwicklung FFG) anzugeben.</t>
  </si>
  <si>
    <t>Hier ist die Förderquote anzugeben, die sich aus weiteren Förderzusagen bzw. Förderansuchen ergibt.</t>
  </si>
  <si>
    <t>Wartung&amp;Instandhaltung (inkl. Betrieb)</t>
  </si>
  <si>
    <t>nichtgefördert verlegte Rohre im 
Gebiet des Förderprojekts (Bestand und eigenwirtschaftlicher Ausbau)</t>
  </si>
  <si>
    <t>nichtgefördert verlegte Mikrorohre im  Gebiet des Förderprojekts (Bestand und eigenwirtschaftlicher Ausbau)</t>
  </si>
  <si>
    <t>nichtgefördert verlegte Fasern im  Gebiet des Förderprojekts (Bestand und eigenwirtschaftlicher Ausbau)</t>
  </si>
  <si>
    <t>aktives Equipment im 
nichtgeförderten Gebiet des Förderprojekts (Bestand und eigenwirtschaftlicher Ausbau)</t>
  </si>
  <si>
    <t>(A2) Angaben Kollokationsfläche</t>
  </si>
  <si>
    <t>Gesamtanzahl der durch den Ausbau mit einem Glasfaseranschluss erreichten Haushalte (lt. WEB-GIS) sowie Ihnen bekannte Unternehmensstandorte (Glasfaserende zumindest bis zur Grundstücksgrenze)</t>
  </si>
  <si>
    <t>Summe Anzahl erreichbare Haushalte bzw. betriebliche Objekte (homes passed)</t>
  </si>
  <si>
    <t>LÄNGE: Gesamte gefördert verlegte Länge von Mikrorohren z.B. als Multirohrverband im Förderprojekt (in Rohren Pos P2.1 und P2.3 oder erdverlegt auf Tiefbaustrecken Pos P1.1 und P1.3) (entspricht der Summe aus den einzelnen Verlegelängen mal Anzahl der Rohre je Abschnitt; Bsp: bei einer durchgängigen Verlegung eines Mikrorohrverbunds 12x2,0 entspricht die Rohrlänge dem zwölffachen der Länge des Tiefbaus aus P1.1 und P1.3)
KOSTEN dafür: Investitionskosten für Material und Einbringung in Rohre oder Graben/Künette etc.</t>
  </si>
  <si>
    <t>LÄNGE: Gesamte nichtgefördert verlegte Länge von Mikrorohren z.B. als Multirohrverband im Förderprojekt (in Rohren Pos P2.2 und P2.3 oder erdverlegt auf  Tiefbaustrecken Pos P1.2 und P1.4) (entspricht der Summe aus den einzelnen Verlegelängen mal Anzahl der Rohre je Abschnitt; Bsp: bei einer durchgängigen Verlegung eines Mikrorohrverbunds 12x2,0 entspricht die Rohrlänge dem zwölffachen der Länge des Tiefbaus aus P1.2 und P1.4)
KOSTEN dafür: Investitionskosten für Material und Einbringung in Rohre oder Graben/Künette etc.</t>
  </si>
  <si>
    <t>Entgelt pro Teilnehmer und Jahr (Doppelfaser)</t>
  </si>
  <si>
    <t>Entgelt pro Teilnehmer und Monat (Doppelfaser)</t>
  </si>
  <si>
    <t>Kapitalkostenzinssatz gem. jährliche Ermittlung von BEREC</t>
  </si>
  <si>
    <t>Dieses Excel dient der Berechnung von Vorleistungsentgelten für Standardangebote im Rahmen der Breitbandförderung BBA 2030</t>
  </si>
  <si>
    <t>Zugang zu beschalteter Glasfaser (LWL-Faserpaar): Entgelt pro Anschluss bzw. pro kundenseitigem Endpunkt</t>
  </si>
  <si>
    <t>In diesem Tabellenblatt erfolgt die Darstellung der Berechnung, Daten sind hier keine einzugeben!</t>
  </si>
  <si>
    <t>Zugang zu unbeschalteter Glasfaser (LWL-Faserpaar): Entgelt pro Anschluss bzw. pro kundenseitigem Endpunkt</t>
  </si>
  <si>
    <t>In diesem Tabellenblatt erfolgt die Abbildung weiterer Kostenfaktoren, die vorgegebnen Werte sind beizubehalten!</t>
  </si>
  <si>
    <t>Kalkulation der Vorleistungspreise für TLN-Zugang passiv (Zugang zu unbeschalteter Glasfaser (LWL-Faserpaar): Entgelt pro Anschluss bzw. pro kundenseitigem Endpunkt)</t>
  </si>
  <si>
    <t>Kalkulation der Vorleistungspreise für TLN-Zugang aktiv (Zugang zu beschalteter Glasfaser (LWL-Faserpaar): Entgelt pro Anschluss bzw. pro kundenseitigem Endpunkt)</t>
  </si>
  <si>
    <t>Anteil der vorausichtlich zukünftig aktiv versorgten Haushalte bzw. Anschlussobjekte im Gebiet des Förderprojekts lt. bei FFG eingereichten Business-Plan bzw. Finanzplan</t>
  </si>
  <si>
    <t>Anteil der voraussichtlich zukünftig aktiv versorgten Haushalte bzw. betriebliche Objekte im Gebiet des Förderprojekts lt. bei FFG eingereichten Business-Plan bzw. Finanzplan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</si>
</sst>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_-;\-* #,##0.0_-;_-* &quot;-&quot;??_-;_-@_-"/>
    <numFmt numFmtId="167" formatCode="_-* #,##0.0000_-;\-* #,##0.0000_-;_-* &quot;-&quot;??_-;_-@_-"/>
    <numFmt numFmtId="168" formatCode="_-* #,##0.00000_-;\-* #,##0.00000_-;_-* &quot;-&quot;??_-;_-@_-"/>
  </numFmts>
  <fonts count="33" x14ac:knownFonts="1">
    <font>
      <sz val="11"/>
      <color theme="1"/>
      <name val="Calibri"/>
      <family val="2"/>
      <scheme val="minor"/>
    </font>
    <font>
      <sz val="11"/>
      <color theme="1"/>
      <name val="Calibri"/>
      <family val="2"/>
      <scheme val="minor"/>
    </font>
    <font>
      <sz val="10"/>
      <name val="Arial"/>
      <family val="2"/>
    </font>
    <font>
      <b/>
      <i/>
      <u/>
      <sz val="10"/>
      <name val="Arial"/>
      <family val="2"/>
    </font>
    <font>
      <b/>
      <sz val="10"/>
      <name val="Arial"/>
      <family val="2"/>
    </font>
    <font>
      <b/>
      <sz val="9"/>
      <name val="Arial"/>
      <family val="2"/>
    </font>
    <font>
      <b/>
      <sz val="9"/>
      <color rgb="FFFF0000"/>
      <name val="Arial"/>
      <family val="2"/>
    </font>
    <font>
      <sz val="9"/>
      <name val="Arial"/>
      <family val="2"/>
    </font>
    <font>
      <i/>
      <u/>
      <sz val="10"/>
      <name val="Arial"/>
      <family val="2"/>
    </font>
    <font>
      <i/>
      <sz val="10"/>
      <name val="Arial"/>
      <family val="2"/>
    </font>
    <font>
      <b/>
      <sz val="8"/>
      <name val="Arial"/>
      <family val="2"/>
    </font>
    <font>
      <i/>
      <u/>
      <sz val="9"/>
      <color theme="4" tint="-0.249977111117893"/>
      <name val="Arial"/>
      <family val="2"/>
    </font>
    <font>
      <i/>
      <sz val="9"/>
      <color theme="4" tint="-0.249977111117893"/>
      <name val="Arial"/>
      <family val="2"/>
    </font>
    <font>
      <i/>
      <sz val="10"/>
      <name val="Symbol"/>
      <family val="1"/>
      <charset val="2"/>
    </font>
    <font>
      <i/>
      <sz val="10"/>
      <color theme="4" tint="-0.249977111117893"/>
      <name val="Arial"/>
      <family val="2"/>
    </font>
    <font>
      <b/>
      <i/>
      <sz val="10"/>
      <color theme="4" tint="-0.249977111117893"/>
      <name val="Arial"/>
      <family val="2"/>
    </font>
    <font>
      <b/>
      <sz val="11"/>
      <color theme="1"/>
      <name val="Calibri"/>
      <family val="2"/>
      <scheme val="minor"/>
    </font>
    <font>
      <b/>
      <i/>
      <sz val="11"/>
      <color theme="4" tint="-0.249977111117893"/>
      <name val="Calibri"/>
      <family val="2"/>
      <scheme val="minor"/>
    </font>
    <font>
      <b/>
      <sz val="11"/>
      <name val="Arial"/>
      <family val="2"/>
    </font>
    <font>
      <b/>
      <i/>
      <u/>
      <sz val="12"/>
      <color theme="1"/>
      <name val="Calibri"/>
      <family val="2"/>
      <scheme val="minor"/>
    </font>
    <font>
      <b/>
      <i/>
      <u/>
      <sz val="14"/>
      <name val="Arial"/>
      <family val="2"/>
    </font>
    <font>
      <b/>
      <sz val="10"/>
      <color theme="4" tint="-0.249977111117893"/>
      <name val="Arial"/>
      <family val="2"/>
    </font>
    <font>
      <b/>
      <sz val="11"/>
      <color theme="4" tint="-0.249977111117893"/>
      <name val="Calibri"/>
      <family val="2"/>
      <scheme val="minor"/>
    </font>
    <font>
      <u/>
      <sz val="11"/>
      <color theme="10"/>
      <name val="Calibri"/>
      <family val="2"/>
      <scheme val="minor"/>
    </font>
    <font>
      <b/>
      <sz val="12"/>
      <name val="Calibri"/>
      <family val="2"/>
      <scheme val="minor"/>
    </font>
    <font>
      <b/>
      <sz val="12"/>
      <color theme="4" tint="-0.249977111117893"/>
      <name val="Calibri"/>
      <family val="2"/>
      <scheme val="minor"/>
    </font>
    <font>
      <sz val="8"/>
      <name val="Calibri"/>
      <family val="2"/>
      <scheme val="minor"/>
    </font>
    <font>
      <b/>
      <i/>
      <u/>
      <sz val="8"/>
      <name val="Arial"/>
      <family val="2"/>
    </font>
    <font>
      <i/>
      <sz val="11"/>
      <color theme="4" tint="-0.249977111117893"/>
      <name val="Calibri"/>
      <family val="2"/>
      <scheme val="minor"/>
    </font>
    <font>
      <sz val="11"/>
      <name val="Calibri"/>
      <family val="2"/>
      <scheme val="minor"/>
    </font>
    <font>
      <i/>
      <sz val="11"/>
      <name val="Calibri"/>
      <family val="2"/>
      <scheme val="minor"/>
    </font>
    <font>
      <i/>
      <sz val="11"/>
      <color theme="1"/>
      <name val="Calibri"/>
      <family val="2"/>
      <scheme val="minor"/>
    </font>
    <font>
      <b/>
      <i/>
      <sz val="12"/>
      <color theme="4" tint="-0.249977111117893"/>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39997558519241921"/>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top style="thin">
        <color auto="1"/>
      </top>
      <bottom style="thin">
        <color auto="1"/>
      </bottom>
      <diagonal/>
    </border>
    <border>
      <left style="thin">
        <color auto="1"/>
      </left>
      <right style="thin">
        <color auto="1"/>
      </right>
      <top/>
      <bottom style="double">
        <color indexed="64"/>
      </bottom>
      <diagonal/>
    </border>
    <border>
      <left/>
      <right/>
      <top style="thin">
        <color auto="1"/>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medium">
        <color indexed="64"/>
      </right>
      <top/>
      <bottom style="double">
        <color indexed="64"/>
      </bottom>
      <diagonal/>
    </border>
    <border>
      <left style="medium">
        <color indexed="64"/>
      </left>
      <right/>
      <top style="thin">
        <color auto="1"/>
      </top>
      <bottom style="thin">
        <color auto="1"/>
      </bottom>
      <diagonal/>
    </border>
    <border>
      <left style="thin">
        <color auto="1"/>
      </left>
      <right style="medium">
        <color indexed="64"/>
      </right>
      <top style="thin">
        <color indexed="64"/>
      </top>
      <bottom style="double">
        <color indexed="64"/>
      </bottom>
      <diagonal/>
    </border>
    <border>
      <left/>
      <right/>
      <top style="thin">
        <color auto="1"/>
      </top>
      <bottom style="medium">
        <color indexed="64"/>
      </bottom>
      <diagonal/>
    </border>
    <border>
      <left/>
      <right style="medium">
        <color indexed="64"/>
      </right>
      <top style="thin">
        <color auto="1"/>
      </top>
      <bottom style="thin">
        <color auto="1"/>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23" fillId="0" borderId="0" applyNumberFormat="0" applyFill="0" applyBorder="0" applyAlignment="0" applyProtection="0"/>
  </cellStyleXfs>
  <cellXfs count="287">
    <xf numFmtId="0" fontId="0" fillId="0" borderId="0" xfId="0"/>
    <xf numFmtId="0" fontId="0" fillId="3" borderId="3" xfId="0" applyFill="1" applyBorder="1" applyAlignment="1">
      <alignment vertical="top" wrapText="1"/>
    </xf>
    <xf numFmtId="164" fontId="4" fillId="2" borderId="1" xfId="1" applyNumberFormat="1" applyFont="1" applyFill="1" applyBorder="1" applyAlignment="1" applyProtection="1">
      <alignment horizontal="left" vertical="center"/>
      <protection locked="0"/>
    </xf>
    <xf numFmtId="0" fontId="0" fillId="3" borderId="3" xfId="0" applyFill="1" applyBorder="1" applyAlignment="1">
      <alignment vertical="center" wrapText="1"/>
    </xf>
    <xf numFmtId="0" fontId="14" fillId="0" borderId="10" xfId="0" applyFont="1" applyBorder="1" applyAlignment="1">
      <alignment vertical="center"/>
    </xf>
    <xf numFmtId="0" fontId="0" fillId="0" borderId="14" xfId="0" applyBorder="1"/>
    <xf numFmtId="0" fontId="18" fillId="6" borderId="15" xfId="0" applyFont="1" applyFill="1" applyBorder="1" applyAlignment="1">
      <alignment vertical="center"/>
    </xf>
    <xf numFmtId="0" fontId="10" fillId="6" borderId="16" xfId="0" applyFont="1" applyFill="1" applyBorder="1"/>
    <xf numFmtId="0" fontId="0" fillId="6" borderId="16" xfId="0" applyFill="1" applyBorder="1"/>
    <xf numFmtId="0" fontId="4" fillId="6" borderId="16" xfId="0" applyFont="1" applyFill="1" applyBorder="1" applyAlignment="1">
      <alignment horizontal="left" vertical="center"/>
    </xf>
    <xf numFmtId="0" fontId="0" fillId="0" borderId="13" xfId="0" applyBorder="1"/>
    <xf numFmtId="0" fontId="10" fillId="4" borderId="0" xfId="0" applyFont="1" applyFill="1"/>
    <xf numFmtId="0" fontId="20" fillId="0" borderId="0" xfId="0" applyFont="1" applyAlignment="1">
      <alignment vertical="top"/>
    </xf>
    <xf numFmtId="164" fontId="4" fillId="2" borderId="6" xfId="1" applyNumberFormat="1" applyFont="1" applyFill="1" applyBorder="1" applyAlignment="1" applyProtection="1">
      <alignment horizontal="left" vertical="center"/>
      <protection locked="0"/>
    </xf>
    <xf numFmtId="0" fontId="10" fillId="4" borderId="18" xfId="0" applyFont="1" applyFill="1" applyBorder="1"/>
    <xf numFmtId="0" fontId="0" fillId="3" borderId="18" xfId="0" applyFill="1" applyBorder="1" applyAlignment="1">
      <alignment vertical="center" wrapText="1"/>
    </xf>
    <xf numFmtId="0" fontId="7" fillId="4" borderId="18" xfId="0" applyFont="1" applyFill="1" applyBorder="1" applyAlignment="1">
      <alignment horizontal="center" vertical="center"/>
    </xf>
    <xf numFmtId="0" fontId="0" fillId="0" borderId="12" xfId="0" applyBorder="1"/>
    <xf numFmtId="0" fontId="3" fillId="4" borderId="18" xfId="0" applyFont="1" applyFill="1" applyBorder="1" applyAlignment="1">
      <alignment vertical="center"/>
    </xf>
    <xf numFmtId="0" fontId="0" fillId="3" borderId="23" xfId="0" applyFill="1" applyBorder="1" applyAlignment="1">
      <alignment vertical="center" wrapText="1"/>
    </xf>
    <xf numFmtId="0" fontId="3" fillId="4" borderId="8" xfId="0" applyFont="1" applyFill="1" applyBorder="1" applyAlignment="1">
      <alignment vertical="center"/>
    </xf>
    <xf numFmtId="0" fontId="4" fillId="4" borderId="8" xfId="0" applyFont="1" applyFill="1" applyBorder="1" applyAlignment="1">
      <alignment horizontal="center" vertical="center" wrapText="1"/>
    </xf>
    <xf numFmtId="0" fontId="18" fillId="4" borderId="7" xfId="0" applyFont="1" applyFill="1" applyBorder="1" applyAlignment="1">
      <alignment vertical="center"/>
    </xf>
    <xf numFmtId="0" fontId="4" fillId="4" borderId="9" xfId="0" applyFont="1" applyFill="1" applyBorder="1" applyAlignment="1">
      <alignment horizontal="center" vertical="center" wrapText="1"/>
    </xf>
    <xf numFmtId="0" fontId="18" fillId="4" borderId="19" xfId="0" applyFont="1" applyFill="1" applyBorder="1" applyAlignment="1">
      <alignment vertical="center"/>
    </xf>
    <xf numFmtId="0" fontId="7" fillId="4" borderId="20" xfId="0" applyFont="1" applyFill="1" applyBorder="1" applyAlignment="1">
      <alignment horizontal="center" vertical="center"/>
    </xf>
    <xf numFmtId="0" fontId="0" fillId="0" borderId="10" xfId="0" applyBorder="1"/>
    <xf numFmtId="0" fontId="0" fillId="0" borderId="0" xfId="0" applyAlignment="1">
      <alignment vertical="center"/>
    </xf>
    <xf numFmtId="167" fontId="17" fillId="5" borderId="0" xfId="0" applyNumberFormat="1" applyFont="1" applyFill="1" applyAlignment="1">
      <alignment vertical="center"/>
    </xf>
    <xf numFmtId="0" fontId="4" fillId="6" borderId="17" xfId="0" applyFont="1" applyFill="1" applyBorder="1" applyAlignment="1">
      <alignment horizontal="left" vertical="center"/>
    </xf>
    <xf numFmtId="167" fontId="17" fillId="5" borderId="25" xfId="0" applyNumberFormat="1" applyFont="1" applyFill="1" applyBorder="1" applyAlignment="1">
      <alignment vertical="center"/>
    </xf>
    <xf numFmtId="167" fontId="17" fillId="5" borderId="11" xfId="0" applyNumberFormat="1" applyFont="1" applyFill="1" applyBorder="1" applyAlignment="1">
      <alignment vertical="center"/>
    </xf>
    <xf numFmtId="167" fontId="17" fillId="5" borderId="20" xfId="0" applyNumberFormat="1" applyFont="1" applyFill="1" applyBorder="1" applyAlignment="1">
      <alignment vertical="center"/>
    </xf>
    <xf numFmtId="164" fontId="4" fillId="2" borderId="35" xfId="1" applyNumberFormat="1" applyFont="1" applyFill="1" applyBorder="1" applyAlignment="1" applyProtection="1">
      <alignment horizontal="left" vertical="center"/>
      <protection locked="0"/>
    </xf>
    <xf numFmtId="43" fontId="4" fillId="2" borderId="35" xfId="1" applyFont="1" applyFill="1" applyBorder="1" applyAlignment="1" applyProtection="1">
      <alignment horizontal="left" vertical="center"/>
      <protection locked="0"/>
    </xf>
    <xf numFmtId="0" fontId="27" fillId="4" borderId="19" xfId="0" applyFont="1" applyFill="1" applyBorder="1"/>
    <xf numFmtId="0" fontId="10" fillId="4" borderId="20" xfId="0" applyFont="1" applyFill="1" applyBorder="1"/>
    <xf numFmtId="0" fontId="10" fillId="4" borderId="11" xfId="0" applyFont="1" applyFill="1" applyBorder="1"/>
    <xf numFmtId="0" fontId="0" fillId="0" borderId="10" xfId="0" applyBorder="1" applyAlignment="1">
      <alignment vertical="center" wrapText="1"/>
    </xf>
    <xf numFmtId="0" fontId="4" fillId="4" borderId="27" xfId="0" applyFont="1" applyFill="1" applyBorder="1"/>
    <xf numFmtId="0" fontId="0" fillId="0" borderId="12" xfId="0" applyBorder="1" applyAlignment="1">
      <alignment vertical="center" wrapText="1"/>
    </xf>
    <xf numFmtId="164" fontId="4" fillId="2" borderId="36" xfId="1" applyNumberFormat="1" applyFont="1" applyFill="1" applyBorder="1" applyAlignment="1" applyProtection="1">
      <alignment horizontal="left" vertical="center"/>
      <protection locked="0"/>
    </xf>
    <xf numFmtId="165" fontId="4" fillId="2" borderId="35" xfId="3" applyNumberFormat="1" applyFont="1" applyFill="1" applyBorder="1" applyAlignment="1" applyProtection="1">
      <alignment horizontal="right" vertical="center"/>
      <protection locked="0"/>
    </xf>
    <xf numFmtId="9" fontId="4" fillId="2" borderId="36" xfId="3" applyFont="1" applyFill="1" applyBorder="1" applyAlignment="1" applyProtection="1">
      <alignment horizontal="right" vertical="center"/>
      <protection locked="0"/>
    </xf>
    <xf numFmtId="9" fontId="4" fillId="2" borderId="35" xfId="3" applyFont="1" applyFill="1" applyBorder="1" applyAlignment="1" applyProtection="1">
      <alignment horizontal="right" vertical="center"/>
      <protection locked="0"/>
    </xf>
    <xf numFmtId="167" fontId="30" fillId="4" borderId="23" xfId="0" applyNumberFormat="1" applyFont="1" applyFill="1" applyBorder="1" applyAlignment="1">
      <alignment vertical="center"/>
    </xf>
    <xf numFmtId="0" fontId="31" fillId="4" borderId="23" xfId="0" applyFont="1" applyFill="1" applyBorder="1" applyAlignment="1">
      <alignment vertical="center" wrapText="1"/>
    </xf>
    <xf numFmtId="0" fontId="31" fillId="4" borderId="0" xfId="0" applyFont="1" applyFill="1" applyAlignment="1">
      <alignment vertical="center" wrapText="1"/>
    </xf>
    <xf numFmtId="43" fontId="30" fillId="4" borderId="11" xfId="0" applyNumberFormat="1" applyFont="1" applyFill="1" applyBorder="1" applyAlignment="1">
      <alignment vertical="center"/>
    </xf>
    <xf numFmtId="167" fontId="32" fillId="9" borderId="18" xfId="0" applyNumberFormat="1" applyFont="1" applyFill="1" applyBorder="1" applyAlignment="1">
      <alignment vertical="center"/>
    </xf>
    <xf numFmtId="167" fontId="32" fillId="9" borderId="18" xfId="0" applyNumberFormat="1" applyFont="1" applyFill="1" applyBorder="1" applyAlignment="1">
      <alignment vertical="center" wrapText="1"/>
    </xf>
    <xf numFmtId="167" fontId="32" fillId="5" borderId="0" xfId="0" applyNumberFormat="1" applyFont="1" applyFill="1" applyAlignment="1">
      <alignment vertical="center"/>
    </xf>
    <xf numFmtId="43" fontId="32" fillId="9" borderId="20" xfId="0" applyNumberFormat="1" applyFont="1" applyFill="1" applyBorder="1" applyAlignment="1">
      <alignment vertical="center"/>
    </xf>
    <xf numFmtId="0" fontId="4" fillId="2" borderId="1" xfId="1"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protection locked="0"/>
    </xf>
    <xf numFmtId="167" fontId="32" fillId="5" borderId="18" xfId="0" applyNumberFormat="1" applyFont="1" applyFill="1" applyBorder="1" applyAlignment="1">
      <alignment vertical="center"/>
    </xf>
    <xf numFmtId="167" fontId="32" fillId="9" borderId="3" xfId="0" applyNumberFormat="1" applyFont="1" applyFill="1" applyBorder="1" applyAlignment="1">
      <alignment vertical="center"/>
    </xf>
    <xf numFmtId="167" fontId="0" fillId="0" borderId="3" xfId="1" applyNumberFormat="1" applyFont="1" applyBorder="1"/>
    <xf numFmtId="43" fontId="32" fillId="9" borderId="30" xfId="0" applyNumberFormat="1" applyFont="1" applyFill="1" applyBorder="1" applyAlignment="1">
      <alignment vertical="center"/>
    </xf>
    <xf numFmtId="0" fontId="10" fillId="4" borderId="3" xfId="0" applyFont="1" applyFill="1" applyBorder="1"/>
    <xf numFmtId="0" fontId="10" fillId="4" borderId="30" xfId="0" applyFont="1" applyFill="1" applyBorder="1"/>
    <xf numFmtId="0" fontId="0" fillId="3" borderId="23" xfId="0" applyFill="1" applyBorder="1" applyAlignment="1">
      <alignment horizontal="left" vertical="center" wrapText="1"/>
    </xf>
    <xf numFmtId="0" fontId="0" fillId="3" borderId="25" xfId="0" applyFill="1" applyBorder="1" applyAlignment="1">
      <alignment horizontal="left" vertical="center" wrapText="1"/>
    </xf>
    <xf numFmtId="0" fontId="10" fillId="0" borderId="0" xfId="0" applyFont="1"/>
    <xf numFmtId="0" fontId="16" fillId="2" borderId="0" xfId="0" applyFont="1" applyFill="1"/>
    <xf numFmtId="0" fontId="4" fillId="0" borderId="0" xfId="0" applyFont="1" applyAlignment="1">
      <alignment horizontal="left" vertical="center"/>
    </xf>
    <xf numFmtId="0" fontId="7" fillId="0" borderId="0" xfId="0" applyFont="1" applyAlignment="1">
      <alignment vertical="center"/>
    </xf>
    <xf numFmtId="0" fontId="3" fillId="0" borderId="0" xfId="0" applyFont="1" applyAlignment="1">
      <alignment vertical="top"/>
    </xf>
    <xf numFmtId="0" fontId="8" fillId="0" borderId="0" xfId="0" applyFont="1" applyAlignment="1">
      <alignment horizontal="left" wrapText="1"/>
    </xf>
    <xf numFmtId="0" fontId="0" fillId="6" borderId="17" xfId="0" applyFill="1" applyBorder="1"/>
    <xf numFmtId="0" fontId="18" fillId="4" borderId="10" xfId="0" applyFont="1" applyFill="1" applyBorder="1" applyAlignment="1">
      <alignment vertical="center"/>
    </xf>
    <xf numFmtId="0" fontId="8" fillId="4" borderId="0" xfId="0" applyFont="1" applyFill="1" applyAlignment="1">
      <alignment horizontal="left" wrapText="1"/>
    </xf>
    <xf numFmtId="0" fontId="4" fillId="4" borderId="0" xfId="0" applyFont="1" applyFill="1" applyAlignment="1">
      <alignment horizontal="left" vertical="center"/>
    </xf>
    <xf numFmtId="0" fontId="4" fillId="4" borderId="11" xfId="0" applyFont="1" applyFill="1" applyBorder="1" applyAlignment="1">
      <alignment horizontal="center" vertical="center" wrapText="1"/>
    </xf>
    <xf numFmtId="0" fontId="19" fillId="4" borderId="0" xfId="0" applyFont="1" applyFill="1" applyAlignment="1">
      <alignment vertical="center"/>
    </xf>
    <xf numFmtId="0" fontId="15" fillId="4" borderId="19" xfId="0" applyFont="1" applyFill="1" applyBorder="1" applyAlignment="1">
      <alignment vertical="center"/>
    </xf>
    <xf numFmtId="0" fontId="8" fillId="4" borderId="18" xfId="0" applyFont="1" applyFill="1" applyBorder="1" applyAlignment="1">
      <alignment horizontal="left" wrapText="1"/>
    </xf>
    <xf numFmtId="0" fontId="4" fillId="4" borderId="18" xfId="0" applyFont="1" applyFill="1" applyBorder="1" applyAlignment="1">
      <alignment horizontal="left" vertical="center"/>
    </xf>
    <xf numFmtId="0" fontId="0" fillId="4" borderId="20" xfId="0" applyFill="1" applyBorder="1"/>
    <xf numFmtId="0" fontId="9" fillId="3" borderId="18" xfId="0" applyFont="1" applyFill="1" applyBorder="1" applyAlignment="1">
      <alignment vertical="center" wrapText="1"/>
    </xf>
    <xf numFmtId="164" fontId="4" fillId="5" borderId="18" xfId="1" applyNumberFormat="1" applyFont="1" applyFill="1" applyBorder="1" applyAlignment="1" applyProtection="1">
      <alignment horizontal="left" vertical="center"/>
    </xf>
    <xf numFmtId="0" fontId="9" fillId="3" borderId="3" xfId="0" applyFont="1" applyFill="1" applyBorder="1" applyAlignment="1">
      <alignment vertical="center" wrapText="1"/>
    </xf>
    <xf numFmtId="164" fontId="4" fillId="5" borderId="3" xfId="1" applyNumberFormat="1" applyFont="1" applyFill="1" applyBorder="1" applyAlignment="1" applyProtection="1">
      <alignment horizontal="left" vertical="center"/>
    </xf>
    <xf numFmtId="0" fontId="17" fillId="8" borderId="3" xfId="0" applyFont="1" applyFill="1" applyBorder="1"/>
    <xf numFmtId="0" fontId="0" fillId="8" borderId="3" xfId="0" applyFill="1" applyBorder="1"/>
    <xf numFmtId="164" fontId="15" fillId="8" borderId="35" xfId="1" applyNumberFormat="1" applyFont="1" applyFill="1" applyBorder="1" applyAlignment="1" applyProtection="1">
      <alignment horizontal="left" vertical="center"/>
    </xf>
    <xf numFmtId="0" fontId="7" fillId="0" borderId="11" xfId="0" applyFont="1" applyBorder="1" applyAlignment="1">
      <alignment vertical="center"/>
    </xf>
    <xf numFmtId="0" fontId="9" fillId="3" borderId="3" xfId="0" applyFont="1" applyFill="1" applyBorder="1" applyAlignment="1">
      <alignment vertical="top" wrapText="1"/>
    </xf>
    <xf numFmtId="0" fontId="14" fillId="0" borderId="19" xfId="0" applyFont="1" applyBorder="1" applyAlignment="1">
      <alignment vertical="center"/>
    </xf>
    <xf numFmtId="0" fontId="10" fillId="0" borderId="3" xfId="0" applyFont="1" applyBorder="1"/>
    <xf numFmtId="0" fontId="8" fillId="0" borderId="3" xfId="0" applyFont="1" applyBorder="1" applyAlignment="1">
      <alignment horizontal="left" wrapText="1"/>
    </xf>
    <xf numFmtId="0" fontId="4" fillId="0" borderId="3" xfId="0" applyFont="1" applyBorder="1" applyAlignment="1">
      <alignment horizontal="left" vertical="center"/>
    </xf>
    <xf numFmtId="0" fontId="7" fillId="0" borderId="30" xfId="0" applyFont="1" applyBorder="1" applyAlignment="1">
      <alignment vertical="center"/>
    </xf>
    <xf numFmtId="0" fontId="0" fillId="4" borderId="0" xfId="0" applyFill="1" applyAlignment="1">
      <alignment wrapText="1"/>
    </xf>
    <xf numFmtId="0" fontId="4" fillId="4" borderId="0" xfId="0" applyFont="1" applyFill="1" applyAlignment="1">
      <alignment horizontal="center" vertical="center" wrapText="1"/>
    </xf>
    <xf numFmtId="0" fontId="0" fillId="4" borderId="11" xfId="0" applyFill="1" applyBorder="1"/>
    <xf numFmtId="0" fontId="4" fillId="4" borderId="10" xfId="0" applyFont="1" applyFill="1" applyBorder="1" applyAlignment="1">
      <alignment vertical="center"/>
    </xf>
    <xf numFmtId="0" fontId="14" fillId="4" borderId="0" xfId="0" applyFont="1" applyFill="1" applyAlignment="1">
      <alignment horizontal="center" vertical="center" wrapText="1"/>
    </xf>
    <xf numFmtId="0" fontId="4" fillId="4" borderId="18" xfId="0" applyFont="1" applyFill="1" applyBorder="1"/>
    <xf numFmtId="0" fontId="0" fillId="4" borderId="18" xfId="0" applyFill="1" applyBorder="1" applyAlignment="1">
      <alignment wrapText="1"/>
    </xf>
    <xf numFmtId="0" fontId="12" fillId="4" borderId="18" xfId="0" applyFont="1" applyFill="1" applyBorder="1" applyAlignment="1">
      <alignment horizontal="center" vertical="center"/>
    </xf>
    <xf numFmtId="43" fontId="14" fillId="4" borderId="6" xfId="1" applyFont="1" applyFill="1" applyBorder="1" applyAlignment="1" applyProtection="1">
      <alignment horizontal="left" vertical="center"/>
    </xf>
    <xf numFmtId="0" fontId="14" fillId="0" borderId="12" xfId="0" applyFont="1" applyBorder="1" applyAlignment="1">
      <alignment vertical="center"/>
    </xf>
    <xf numFmtId="0" fontId="10" fillId="0" borderId="13" xfId="0" applyFont="1" applyBorder="1"/>
    <xf numFmtId="0" fontId="8" fillId="0" borderId="13" xfId="0" applyFont="1" applyBorder="1" applyAlignment="1">
      <alignment horizontal="left" wrapText="1"/>
    </xf>
    <xf numFmtId="0" fontId="4" fillId="0" borderId="13" xfId="0" applyFont="1" applyBorder="1" applyAlignment="1">
      <alignment horizontal="left" vertical="center"/>
    </xf>
    <xf numFmtId="0" fontId="7" fillId="0" borderId="14" xfId="0" applyFont="1" applyBorder="1" applyAlignment="1">
      <alignment vertical="center"/>
    </xf>
    <xf numFmtId="0" fontId="0" fillId="6" borderId="16" xfId="0" applyFill="1" applyBorder="1" applyAlignment="1">
      <alignment wrapText="1"/>
    </xf>
    <xf numFmtId="0" fontId="11" fillId="4" borderId="0" xfId="0" applyFont="1" applyFill="1" applyAlignment="1">
      <alignment horizontal="center" vertical="center" wrapText="1"/>
    </xf>
    <xf numFmtId="0" fontId="3" fillId="0" borderId="0" xfId="0" applyFont="1" applyAlignment="1">
      <alignment vertical="center"/>
    </xf>
    <xf numFmtId="164" fontId="14" fillId="4" borderId="6" xfId="1" applyNumberFormat="1" applyFont="1" applyFill="1" applyBorder="1" applyAlignment="1" applyProtection="1">
      <alignment horizontal="left" vertical="center"/>
    </xf>
    <xf numFmtId="0" fontId="0" fillId="5" borderId="37" xfId="0" applyFill="1" applyBorder="1"/>
    <xf numFmtId="164" fontId="4" fillId="5" borderId="1" xfId="1" applyNumberFormat="1" applyFont="1" applyFill="1" applyBorder="1" applyAlignment="1" applyProtection="1">
      <alignment horizontal="left" vertical="center"/>
    </xf>
    <xf numFmtId="164" fontId="14" fillId="4" borderId="1" xfId="1" applyNumberFormat="1" applyFont="1" applyFill="1" applyBorder="1" applyAlignment="1" applyProtection="1">
      <alignment horizontal="left" vertical="center"/>
    </xf>
    <xf numFmtId="43" fontId="14" fillId="4" borderId="1" xfId="1" applyFont="1" applyFill="1" applyBorder="1" applyAlignment="1" applyProtection="1">
      <alignment horizontal="left" vertical="center"/>
    </xf>
    <xf numFmtId="164" fontId="4" fillId="5" borderId="21" xfId="1" applyNumberFormat="1" applyFont="1" applyFill="1" applyBorder="1" applyAlignment="1" applyProtection="1">
      <alignment horizontal="left" vertical="center"/>
    </xf>
    <xf numFmtId="164" fontId="21" fillId="8" borderId="4" xfId="1" applyNumberFormat="1" applyFont="1" applyFill="1" applyBorder="1" applyAlignment="1" applyProtection="1">
      <alignment horizontal="left" vertical="center"/>
    </xf>
    <xf numFmtId="43" fontId="15" fillId="8" borderId="4" xfId="1" applyFont="1" applyFill="1" applyBorder="1" applyAlignment="1" applyProtection="1">
      <alignment horizontal="left" vertical="center"/>
    </xf>
    <xf numFmtId="0" fontId="0" fillId="5" borderId="36" xfId="0" applyFill="1" applyBorder="1"/>
    <xf numFmtId="164" fontId="0" fillId="0" borderId="0" xfId="0" applyNumberFormat="1"/>
    <xf numFmtId="0" fontId="4" fillId="0" borderId="13" xfId="0" applyFont="1" applyBorder="1"/>
    <xf numFmtId="0" fontId="0" fillId="0" borderId="13" xfId="0" applyBorder="1" applyAlignment="1">
      <alignment wrapText="1"/>
    </xf>
    <xf numFmtId="0" fontId="7" fillId="0" borderId="13" xfId="0" applyFont="1" applyBorder="1" applyAlignment="1">
      <alignment vertical="center"/>
    </xf>
    <xf numFmtId="0" fontId="0" fillId="4" borderId="7" xfId="0" applyFill="1" applyBorder="1"/>
    <xf numFmtId="0" fontId="0" fillId="4" borderId="8" xfId="0" applyFill="1" applyBorder="1"/>
    <xf numFmtId="0" fontId="0" fillId="4" borderId="8" xfId="0" applyFill="1" applyBorder="1" applyAlignment="1">
      <alignment wrapText="1"/>
    </xf>
    <xf numFmtId="0" fontId="4" fillId="4" borderId="8" xfId="0" applyFont="1" applyFill="1" applyBorder="1" applyAlignment="1">
      <alignment horizontal="left" vertical="center"/>
    </xf>
    <xf numFmtId="0" fontId="11" fillId="4" borderId="8" xfId="0" applyFont="1" applyFill="1" applyBorder="1" applyAlignment="1">
      <alignment horizontal="center" vertical="center" wrapText="1"/>
    </xf>
    <xf numFmtId="0" fontId="0" fillId="4" borderId="9" xfId="0" applyFill="1" applyBorder="1"/>
    <xf numFmtId="0" fontId="14" fillId="4" borderId="10" xfId="0" applyFont="1" applyFill="1" applyBorder="1" applyAlignment="1">
      <alignment vertical="center"/>
    </xf>
    <xf numFmtId="0" fontId="8" fillId="0" borderId="0" xfId="0" applyFont="1"/>
    <xf numFmtId="0" fontId="0" fillId="0" borderId="0" xfId="0" applyAlignment="1">
      <alignment wrapText="1"/>
    </xf>
    <xf numFmtId="0" fontId="0" fillId="0" borderId="11" xfId="0" applyBorder="1"/>
    <xf numFmtId="0" fontId="19" fillId="4" borderId="0" xfId="0" applyFont="1" applyFill="1"/>
    <xf numFmtId="0" fontId="7" fillId="4" borderId="11" xfId="0" applyFont="1" applyFill="1" applyBorder="1" applyAlignment="1">
      <alignment vertical="center"/>
    </xf>
    <xf numFmtId="0" fontId="14" fillId="4" borderId="3" xfId="0" applyFont="1" applyFill="1" applyBorder="1" applyAlignment="1">
      <alignment horizontal="left" vertical="center" wrapText="1"/>
    </xf>
    <xf numFmtId="0" fontId="0" fillId="4" borderId="3" xfId="0" applyFill="1" applyBorder="1"/>
    <xf numFmtId="166" fontId="14" fillId="4" borderId="35" xfId="1" applyNumberFormat="1" applyFont="1" applyFill="1" applyBorder="1" applyAlignment="1" applyProtection="1">
      <alignment horizontal="left" vertical="center"/>
    </xf>
    <xf numFmtId="0" fontId="14" fillId="8" borderId="3" xfId="0" applyFont="1" applyFill="1" applyBorder="1" applyAlignment="1">
      <alignment horizontal="left" vertical="center" wrapText="1"/>
    </xf>
    <xf numFmtId="166" fontId="15" fillId="8" borderId="35" xfId="1" applyNumberFormat="1" applyFont="1" applyFill="1" applyBorder="1" applyAlignment="1" applyProtection="1">
      <alignment horizontal="left" vertical="center"/>
    </xf>
    <xf numFmtId="0" fontId="4" fillId="6" borderId="16" xfId="0" applyFont="1" applyFill="1" applyBorder="1"/>
    <xf numFmtId="0" fontId="7" fillId="6" borderId="16" xfId="0" applyFont="1" applyFill="1" applyBorder="1" applyAlignment="1">
      <alignment vertical="center"/>
    </xf>
    <xf numFmtId="0" fontId="14" fillId="4" borderId="7" xfId="0" applyFont="1" applyFill="1" applyBorder="1" applyAlignment="1">
      <alignment vertical="center"/>
    </xf>
    <xf numFmtId="0" fontId="8" fillId="4" borderId="8" xfId="0" applyFont="1" applyFill="1" applyBorder="1"/>
    <xf numFmtId="0" fontId="0" fillId="0" borderId="10" xfId="0" applyBorder="1" applyAlignment="1">
      <alignment vertical="center"/>
    </xf>
    <xf numFmtId="0" fontId="4" fillId="0" borderId="0" xfId="0" applyFont="1"/>
    <xf numFmtId="0" fontId="0" fillId="0" borderId="12" xfId="0" applyBorder="1" applyAlignment="1">
      <alignment vertical="center"/>
    </xf>
    <xf numFmtId="0" fontId="0" fillId="4" borderId="7" xfId="0" applyFill="1" applyBorder="1" applyAlignment="1">
      <alignment vertical="center"/>
    </xf>
    <xf numFmtId="0" fontId="0" fillId="4" borderId="10" xfId="0" applyFill="1" applyBorder="1" applyAlignment="1">
      <alignment vertical="center"/>
    </xf>
    <xf numFmtId="0" fontId="8" fillId="4" borderId="0" xfId="0" applyFont="1" applyFill="1"/>
    <xf numFmtId="0" fontId="0" fillId="5" borderId="5" xfId="0" applyFill="1" applyBorder="1"/>
    <xf numFmtId="0" fontId="2" fillId="0" borderId="0" xfId="2"/>
    <xf numFmtId="0" fontId="4" fillId="0" borderId="0" xfId="2" applyFont="1" applyAlignment="1">
      <alignment horizontal="left"/>
    </xf>
    <xf numFmtId="0" fontId="2" fillId="0" borderId="0" xfId="2" applyAlignment="1">
      <alignment wrapText="1"/>
    </xf>
    <xf numFmtId="0" fontId="18" fillId="6" borderId="16" xfId="0" applyFont="1" applyFill="1" applyBorder="1" applyAlignment="1">
      <alignment vertical="center"/>
    </xf>
    <xf numFmtId="0" fontId="18" fillId="6" borderId="17" xfId="0" applyFont="1" applyFill="1" applyBorder="1" applyAlignment="1">
      <alignment vertical="center"/>
    </xf>
    <xf numFmtId="0" fontId="4" fillId="4" borderId="7" xfId="0" applyFont="1" applyFill="1" applyBorder="1" applyAlignment="1">
      <alignment horizontal="left" vertical="center"/>
    </xf>
    <xf numFmtId="0" fontId="4" fillId="4" borderId="9" xfId="0" applyFont="1" applyFill="1" applyBorder="1" applyAlignment="1">
      <alignment horizontal="center" vertical="center"/>
    </xf>
    <xf numFmtId="0" fontId="4" fillId="4" borderId="10" xfId="0" applyFont="1" applyFill="1" applyBorder="1" applyAlignment="1">
      <alignment horizontal="left" vertical="center"/>
    </xf>
    <xf numFmtId="0" fontId="3" fillId="0" borderId="0" xfId="2" applyFont="1" applyAlignment="1">
      <alignment vertical="center"/>
    </xf>
    <xf numFmtId="0" fontId="15" fillId="4" borderId="18" xfId="0" applyFont="1" applyFill="1" applyBorder="1" applyAlignment="1">
      <alignment vertical="center"/>
    </xf>
    <xf numFmtId="0" fontId="0" fillId="3" borderId="3" xfId="0" applyFill="1" applyBorder="1" applyAlignment="1">
      <alignment horizontal="left" vertical="center" wrapText="1"/>
    </xf>
    <xf numFmtId="0" fontId="17" fillId="9" borderId="19" xfId="0" applyFont="1" applyFill="1" applyBorder="1"/>
    <xf numFmtId="0" fontId="17" fillId="9" borderId="18" xfId="0" applyFont="1" applyFill="1" applyBorder="1"/>
    <xf numFmtId="43" fontId="17" fillId="9" borderId="18" xfId="0" applyNumberFormat="1" applyFont="1" applyFill="1" applyBorder="1"/>
    <xf numFmtId="0" fontId="0" fillId="9" borderId="3" xfId="0" applyFill="1" applyBorder="1"/>
    <xf numFmtId="43" fontId="15" fillId="9" borderId="28" xfId="1" applyFont="1" applyFill="1" applyBorder="1" applyAlignment="1" applyProtection="1">
      <alignment horizontal="left" vertical="center"/>
    </xf>
    <xf numFmtId="0" fontId="20" fillId="0" borderId="0" xfId="0" applyFont="1" applyAlignment="1">
      <alignment vertical="center"/>
    </xf>
    <xf numFmtId="0" fontId="12" fillId="0" borderId="0" xfId="0" applyFont="1" applyAlignment="1">
      <alignment vertical="center" wrapText="1"/>
    </xf>
    <xf numFmtId="0" fontId="22" fillId="0" borderId="0" xfId="0" applyFont="1"/>
    <xf numFmtId="0" fontId="19" fillId="4" borderId="7" xfId="0" applyFont="1" applyFill="1" applyBorder="1" applyAlignment="1">
      <alignment vertical="center"/>
    </xf>
    <xf numFmtId="0" fontId="19" fillId="4" borderId="8" xfId="0" applyFont="1" applyFill="1" applyBorder="1" applyAlignment="1">
      <alignment vertical="center"/>
    </xf>
    <xf numFmtId="0" fontId="0" fillId="4" borderId="8" xfId="0" applyFill="1" applyBorder="1" applyAlignment="1">
      <alignment vertical="center"/>
    </xf>
    <xf numFmtId="0" fontId="7" fillId="4" borderId="9" xfId="0" applyFont="1" applyFill="1" applyBorder="1" applyAlignment="1">
      <alignment vertical="center"/>
    </xf>
    <xf numFmtId="0" fontId="0" fillId="4" borderId="19" xfId="0" applyFill="1" applyBorder="1"/>
    <xf numFmtId="0" fontId="0" fillId="4" borderId="18" xfId="0" applyFill="1" applyBorder="1"/>
    <xf numFmtId="0" fontId="0" fillId="4" borderId="18" xfId="0" applyFill="1" applyBorder="1" applyAlignment="1">
      <alignment vertical="center"/>
    </xf>
    <xf numFmtId="0" fontId="7" fillId="4" borderId="20" xfId="0" applyFont="1" applyFill="1" applyBorder="1" applyAlignment="1">
      <alignment vertical="center"/>
    </xf>
    <xf numFmtId="0" fontId="0" fillId="3" borderId="18" xfId="0" applyFill="1" applyBorder="1" applyAlignment="1">
      <alignment vertical="top" wrapText="1"/>
    </xf>
    <xf numFmtId="0" fontId="9" fillId="3" borderId="18" xfId="0" applyFont="1" applyFill="1" applyBorder="1" applyAlignment="1">
      <alignment vertical="top" wrapText="1"/>
    </xf>
    <xf numFmtId="10" fontId="21" fillId="4" borderId="18" xfId="3" applyNumberFormat="1" applyFont="1" applyFill="1" applyBorder="1" applyAlignment="1" applyProtection="1">
      <alignment horizontal="right" vertical="center"/>
    </xf>
    <xf numFmtId="10" fontId="14" fillId="4" borderId="20" xfId="3" applyNumberFormat="1" applyFont="1" applyFill="1" applyBorder="1" applyAlignment="1" applyProtection="1">
      <alignment horizontal="right" vertical="center"/>
    </xf>
    <xf numFmtId="0" fontId="23" fillId="0" borderId="0" xfId="4" applyAlignment="1" applyProtection="1"/>
    <xf numFmtId="10" fontId="21" fillId="4" borderId="3" xfId="3" applyNumberFormat="1" applyFont="1" applyFill="1" applyBorder="1" applyAlignment="1" applyProtection="1">
      <alignment horizontal="right" vertical="center"/>
    </xf>
    <xf numFmtId="10" fontId="14" fillId="4" borderId="30" xfId="3" applyNumberFormat="1" applyFont="1" applyFill="1" applyBorder="1" applyAlignment="1" applyProtection="1">
      <alignment horizontal="right" vertical="center"/>
    </xf>
    <xf numFmtId="0" fontId="9" fillId="0" borderId="0" xfId="0" applyFont="1" applyAlignment="1">
      <alignment wrapText="1"/>
    </xf>
    <xf numFmtId="0" fontId="0" fillId="3" borderId="0" xfId="0" applyFill="1" applyAlignment="1">
      <alignment vertical="top" wrapText="1"/>
    </xf>
    <xf numFmtId="164" fontId="21" fillId="4" borderId="3" xfId="1" applyNumberFormat="1" applyFont="1" applyFill="1" applyBorder="1" applyAlignment="1" applyProtection="1">
      <alignment vertical="center"/>
    </xf>
    <xf numFmtId="164" fontId="14" fillId="4" borderId="30" xfId="1" applyNumberFormat="1" applyFont="1" applyFill="1" applyBorder="1" applyAlignment="1" applyProtection="1">
      <alignment vertical="center"/>
    </xf>
    <xf numFmtId="0" fontId="24" fillId="0" borderId="0" xfId="0" applyFont="1"/>
    <xf numFmtId="0" fontId="25" fillId="0" borderId="0" xfId="0" applyFont="1"/>
    <xf numFmtId="0" fontId="10" fillId="6" borderId="15" xfId="0" applyFont="1" applyFill="1" applyBorder="1"/>
    <xf numFmtId="0" fontId="10" fillId="6" borderId="17" xfId="0" applyFont="1" applyFill="1" applyBorder="1"/>
    <xf numFmtId="0" fontId="0" fillId="3" borderId="0" xfId="0" applyFill="1" applyAlignment="1">
      <alignment vertical="center" wrapText="1"/>
    </xf>
    <xf numFmtId="164" fontId="14" fillId="4" borderId="0" xfId="1" applyNumberFormat="1" applyFont="1" applyFill="1" applyBorder="1" applyAlignment="1" applyProtection="1">
      <alignment horizontal="left" vertical="center"/>
    </xf>
    <xf numFmtId="0" fontId="0" fillId="7" borderId="0" xfId="0" applyFill="1"/>
    <xf numFmtId="164" fontId="14" fillId="4" borderId="11" xfId="1" applyNumberFormat="1" applyFont="1" applyFill="1" applyBorder="1" applyAlignment="1" applyProtection="1">
      <alignment horizontal="left" vertical="center"/>
    </xf>
    <xf numFmtId="0" fontId="0" fillId="0" borderId="19" xfId="0" applyBorder="1"/>
    <xf numFmtId="0" fontId="0" fillId="0" borderId="18" xfId="0" applyBorder="1"/>
    <xf numFmtId="164" fontId="14" fillId="4" borderId="18" xfId="1" applyNumberFormat="1" applyFont="1" applyFill="1" applyBorder="1" applyAlignment="1" applyProtection="1">
      <alignment horizontal="left" vertical="center"/>
    </xf>
    <xf numFmtId="0" fontId="0" fillId="7" borderId="18" xfId="0" applyFill="1" applyBorder="1"/>
    <xf numFmtId="164" fontId="14" fillId="4" borderId="20" xfId="1" applyNumberFormat="1" applyFont="1" applyFill="1" applyBorder="1" applyAlignment="1" applyProtection="1">
      <alignment horizontal="left" vertical="center"/>
    </xf>
    <xf numFmtId="0" fontId="0" fillId="0" borderId="24" xfId="0" applyBorder="1"/>
    <xf numFmtId="164" fontId="14" fillId="4" borderId="23" xfId="1" applyNumberFormat="1" applyFont="1" applyFill="1" applyBorder="1" applyAlignment="1" applyProtection="1">
      <alignment horizontal="left" vertical="center"/>
    </xf>
    <xf numFmtId="0" fontId="0" fillId="7" borderId="23" xfId="0" applyFill="1" applyBorder="1"/>
    <xf numFmtId="164" fontId="14" fillId="4" borderId="25" xfId="1" applyNumberFormat="1" applyFont="1" applyFill="1" applyBorder="1" applyAlignment="1" applyProtection="1">
      <alignment horizontal="left" vertical="center"/>
    </xf>
    <xf numFmtId="0" fontId="17" fillId="8" borderId="19" xfId="0" applyFont="1" applyFill="1" applyBorder="1"/>
    <xf numFmtId="0" fontId="17" fillId="8" borderId="18" xfId="0" applyFont="1" applyFill="1" applyBorder="1"/>
    <xf numFmtId="0" fontId="22" fillId="8" borderId="18" xfId="0" applyFont="1" applyFill="1" applyBorder="1"/>
    <xf numFmtId="164" fontId="15" fillId="8" borderId="4" xfId="1" applyNumberFormat="1" applyFont="1" applyFill="1" applyBorder="1" applyAlignment="1" applyProtection="1">
      <alignment horizontal="left" vertical="center"/>
    </xf>
    <xf numFmtId="164" fontId="15" fillId="8" borderId="28" xfId="1" applyNumberFormat="1" applyFont="1" applyFill="1" applyBorder="1" applyAlignment="1" applyProtection="1">
      <alignment horizontal="left" vertical="center"/>
    </xf>
    <xf numFmtId="164" fontId="15" fillId="8" borderId="31" xfId="1" applyNumberFormat="1" applyFont="1" applyFill="1" applyBorder="1" applyAlignment="1" applyProtection="1">
      <alignment horizontal="left" vertical="center"/>
    </xf>
    <xf numFmtId="164" fontId="15" fillId="8" borderId="32" xfId="1" applyNumberFormat="1" applyFont="1" applyFill="1" applyBorder="1" applyAlignment="1" applyProtection="1">
      <alignment horizontal="left" vertical="center"/>
    </xf>
    <xf numFmtId="0" fontId="0" fillId="4" borderId="0" xfId="0" applyFill="1" applyAlignment="1">
      <alignment vertical="center" wrapText="1"/>
    </xf>
    <xf numFmtId="0" fontId="17" fillId="8" borderId="27" xfId="0" applyFont="1" applyFill="1" applyBorder="1"/>
    <xf numFmtId="164" fontId="15" fillId="8" borderId="22" xfId="1" applyNumberFormat="1" applyFont="1" applyFill="1" applyBorder="1" applyAlignment="1" applyProtection="1">
      <alignment horizontal="left" vertical="center"/>
    </xf>
    <xf numFmtId="164" fontId="15" fillId="8" borderId="26" xfId="1" applyNumberFormat="1" applyFont="1" applyFill="1" applyBorder="1" applyAlignment="1" applyProtection="1">
      <alignment horizontal="left" vertical="center"/>
    </xf>
    <xf numFmtId="0" fontId="0" fillId="0" borderId="29" xfId="0" applyBorder="1"/>
    <xf numFmtId="164" fontId="14" fillId="4" borderId="7" xfId="1" applyNumberFormat="1" applyFont="1" applyFill="1" applyBorder="1" applyAlignment="1" applyProtection="1">
      <alignment horizontal="left" vertical="center"/>
    </xf>
    <xf numFmtId="164" fontId="14" fillId="4" borderId="8" xfId="1" applyNumberFormat="1" applyFont="1" applyFill="1" applyBorder="1" applyAlignment="1" applyProtection="1">
      <alignment horizontal="left" vertical="center"/>
    </xf>
    <xf numFmtId="0" fontId="0" fillId="9" borderId="10" xfId="0" applyFill="1" applyBorder="1"/>
    <xf numFmtId="0" fontId="17" fillId="9" borderId="0" xfId="0" applyFont="1" applyFill="1"/>
    <xf numFmtId="43" fontId="17" fillId="9" borderId="0" xfId="0" applyNumberFormat="1" applyFont="1" applyFill="1"/>
    <xf numFmtId="43" fontId="17" fillId="9" borderId="11" xfId="0" applyNumberFormat="1" applyFont="1" applyFill="1" applyBorder="1"/>
    <xf numFmtId="0" fontId="0" fillId="6" borderId="12" xfId="0" applyFill="1" applyBorder="1"/>
    <xf numFmtId="0" fontId="17" fillId="6" borderId="13" xfId="0" applyFont="1" applyFill="1" applyBorder="1"/>
    <xf numFmtId="164" fontId="17" fillId="6" borderId="13" xfId="1" applyNumberFormat="1" applyFont="1" applyFill="1" applyBorder="1" applyProtection="1"/>
    <xf numFmtId="164" fontId="17" fillId="6" borderId="14" xfId="1" applyNumberFormat="1" applyFont="1" applyFill="1" applyBorder="1" applyProtection="1"/>
    <xf numFmtId="0" fontId="0" fillId="8" borderId="7" xfId="0" applyFill="1" applyBorder="1"/>
    <xf numFmtId="0" fontId="17" fillId="8" borderId="8" xfId="0" applyFont="1" applyFill="1" applyBorder="1"/>
    <xf numFmtId="164" fontId="17" fillId="8" borderId="8" xfId="1" applyNumberFormat="1" applyFont="1" applyFill="1" applyBorder="1" applyProtection="1"/>
    <xf numFmtId="164" fontId="17" fillId="8" borderId="9" xfId="1" applyNumberFormat="1" applyFont="1" applyFill="1" applyBorder="1" applyProtection="1"/>
    <xf numFmtId="0" fontId="0" fillId="8" borderId="34" xfId="0" applyFill="1" applyBorder="1"/>
    <xf numFmtId="0" fontId="17" fillId="8" borderId="2" xfId="0" applyFont="1" applyFill="1" applyBorder="1"/>
    <xf numFmtId="164" fontId="17" fillId="8" borderId="2" xfId="1" applyNumberFormat="1" applyFont="1" applyFill="1" applyBorder="1" applyProtection="1"/>
    <xf numFmtId="164" fontId="17" fillId="8" borderId="33" xfId="1" applyNumberFormat="1" applyFont="1" applyFill="1" applyBorder="1" applyProtection="1"/>
    <xf numFmtId="164" fontId="14" fillId="4" borderId="10" xfId="1" applyNumberFormat="1" applyFont="1" applyFill="1" applyBorder="1" applyAlignment="1" applyProtection="1">
      <alignment horizontal="left" vertical="center"/>
    </xf>
    <xf numFmtId="43" fontId="0" fillId="0" borderId="0" xfId="0" applyNumberFormat="1"/>
    <xf numFmtId="167" fontId="0" fillId="0" borderId="0" xfId="0" applyNumberFormat="1"/>
    <xf numFmtId="168" fontId="0" fillId="0" borderId="0" xfId="0" applyNumberFormat="1"/>
    <xf numFmtId="164" fontId="17" fillId="8" borderId="8" xfId="1" applyNumberFormat="1" applyFont="1" applyFill="1" applyBorder="1" applyAlignment="1" applyProtection="1">
      <alignment vertical="center"/>
    </xf>
    <xf numFmtId="164" fontId="17" fillId="8" borderId="9" xfId="1" applyNumberFormat="1" applyFont="1" applyFill="1" applyBorder="1" applyAlignment="1" applyProtection="1">
      <alignment vertical="center"/>
    </xf>
    <xf numFmtId="0" fontId="0" fillId="9" borderId="12" xfId="0" applyFill="1" applyBorder="1"/>
    <xf numFmtId="0" fontId="17" fillId="9" borderId="13" xfId="0" applyFont="1" applyFill="1" applyBorder="1"/>
    <xf numFmtId="43" fontId="17" fillId="9" borderId="13" xfId="0" applyNumberFormat="1" applyFont="1" applyFill="1" applyBorder="1"/>
    <xf numFmtId="43" fontId="17" fillId="9" borderId="14" xfId="0" applyNumberFormat="1" applyFont="1" applyFill="1" applyBorder="1"/>
    <xf numFmtId="164" fontId="14" fillId="7" borderId="0" xfId="1" applyNumberFormat="1" applyFont="1" applyFill="1" applyBorder="1" applyAlignment="1" applyProtection="1">
      <alignment horizontal="left" vertical="center"/>
    </xf>
    <xf numFmtId="164" fontId="14" fillId="7" borderId="11" xfId="1" applyNumberFormat="1" applyFont="1" applyFill="1" applyBorder="1" applyAlignment="1" applyProtection="1">
      <alignment horizontal="left" vertical="center"/>
    </xf>
    <xf numFmtId="164" fontId="14" fillId="7" borderId="18" xfId="1" applyNumberFormat="1" applyFont="1" applyFill="1" applyBorder="1" applyAlignment="1" applyProtection="1">
      <alignment horizontal="left" vertical="center"/>
    </xf>
    <xf numFmtId="164" fontId="14" fillId="7" borderId="20" xfId="1" applyNumberFormat="1" applyFont="1" applyFill="1" applyBorder="1" applyAlignment="1" applyProtection="1">
      <alignment horizontal="left" vertical="center"/>
    </xf>
    <xf numFmtId="0" fontId="0" fillId="8" borderId="10" xfId="0" applyFill="1" applyBorder="1"/>
    <xf numFmtId="0" fontId="17" fillId="8" borderId="0" xfId="0" applyFont="1" applyFill="1" applyAlignment="1">
      <alignment horizontal="left" vertical="top" wrapText="1"/>
    </xf>
    <xf numFmtId="164" fontId="17" fillId="8" borderId="0" xfId="1" applyNumberFormat="1" applyFont="1" applyFill="1" applyBorder="1" applyAlignment="1" applyProtection="1">
      <alignment vertical="center"/>
    </xf>
    <xf numFmtId="164" fontId="17" fillId="8" borderId="11" xfId="1" applyNumberFormat="1" applyFont="1" applyFill="1" applyBorder="1" applyAlignment="1" applyProtection="1">
      <alignment vertical="center"/>
    </xf>
    <xf numFmtId="0" fontId="16" fillId="0" borderId="0" xfId="0" applyFont="1"/>
    <xf numFmtId="164" fontId="14" fillId="4" borderId="8" xfId="1" applyNumberFormat="1" applyFont="1" applyFill="1" applyBorder="1" applyAlignment="1" applyProtection="1">
      <alignment horizontal="left" vertical="center"/>
      <protection locked="0"/>
    </xf>
    <xf numFmtId="164" fontId="14" fillId="4" borderId="9" xfId="1" applyNumberFormat="1" applyFont="1" applyFill="1" applyBorder="1" applyAlignment="1" applyProtection="1">
      <alignment horizontal="left" vertical="center"/>
      <protection locked="0"/>
    </xf>
    <xf numFmtId="164" fontId="17" fillId="6" borderId="13" xfId="1" applyNumberFormat="1" applyFont="1" applyFill="1" applyBorder="1"/>
    <xf numFmtId="164" fontId="17" fillId="6" borderId="14" xfId="1" applyNumberFormat="1" applyFont="1" applyFill="1" applyBorder="1"/>
    <xf numFmtId="167" fontId="30" fillId="4" borderId="18" xfId="0" applyNumberFormat="1" applyFont="1" applyFill="1" applyBorder="1" applyAlignment="1">
      <alignment vertical="center"/>
    </xf>
    <xf numFmtId="0" fontId="29" fillId="3" borderId="3" xfId="0" applyFont="1" applyFill="1" applyBorder="1" applyAlignment="1">
      <alignment horizontal="left" vertical="center" wrapText="1"/>
    </xf>
    <xf numFmtId="0" fontId="29" fillId="3" borderId="30" xfId="0" applyFont="1" applyFill="1" applyBorder="1" applyAlignment="1">
      <alignment horizontal="left" vertical="center" wrapText="1"/>
    </xf>
    <xf numFmtId="0" fontId="0" fillId="3" borderId="0" xfId="0" applyFill="1" applyAlignment="1">
      <alignment horizontal="left" vertical="center" wrapText="1"/>
    </xf>
    <xf numFmtId="0" fontId="0" fillId="3" borderId="11" xfId="0"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23" xfId="0" applyFill="1" applyBorder="1" applyAlignment="1">
      <alignment horizontal="left" vertical="center" wrapText="1"/>
    </xf>
    <xf numFmtId="0" fontId="0" fillId="3" borderId="25" xfId="0" applyFill="1" applyBorder="1" applyAlignment="1">
      <alignment horizontal="left" vertical="center" wrapText="1"/>
    </xf>
    <xf numFmtId="0" fontId="0" fillId="3" borderId="3" xfId="0" applyFill="1" applyBorder="1" applyAlignment="1">
      <alignment horizontal="left" vertical="center" wrapText="1"/>
    </xf>
    <xf numFmtId="0" fontId="0" fillId="3" borderId="30" xfId="0" applyFill="1" applyBorder="1" applyAlignment="1">
      <alignment horizontal="left" vertical="center" wrapText="1"/>
    </xf>
    <xf numFmtId="0" fontId="7" fillId="2" borderId="0" xfId="2" applyFont="1" applyFill="1" applyAlignment="1">
      <alignment horizontal="left" vertical="center" wrapText="1"/>
    </xf>
    <xf numFmtId="0" fontId="7" fillId="2" borderId="11" xfId="2"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20" xfId="0" applyFill="1" applyBorder="1" applyAlignment="1">
      <alignment horizontal="left" vertical="center" wrapText="1"/>
    </xf>
    <xf numFmtId="167" fontId="28" fillId="9" borderId="18" xfId="0" applyNumberFormat="1" applyFont="1" applyFill="1" applyBorder="1" applyAlignment="1">
      <alignment horizontal="left" vertical="center"/>
    </xf>
    <xf numFmtId="167" fontId="28" fillId="9" borderId="20" xfId="0" applyNumberFormat="1" applyFont="1" applyFill="1" applyBorder="1" applyAlignment="1">
      <alignment horizontal="left" vertical="center"/>
    </xf>
    <xf numFmtId="0" fontId="7" fillId="2" borderId="3" xfId="2" applyFont="1" applyFill="1" applyBorder="1" applyAlignment="1">
      <alignment horizontal="left" vertical="center" wrapText="1"/>
    </xf>
    <xf numFmtId="0" fontId="7" fillId="2" borderId="30" xfId="2" applyFont="1" applyFill="1" applyBorder="1" applyAlignment="1">
      <alignment horizontal="left" vertical="center" wrapText="1"/>
    </xf>
    <xf numFmtId="0" fontId="29" fillId="3" borderId="23" xfId="0" applyFont="1" applyFill="1" applyBorder="1" applyAlignment="1">
      <alignment horizontal="left" vertical="center" wrapText="1"/>
    </xf>
    <xf numFmtId="0" fontId="29" fillId="3" borderId="25" xfId="0" applyFont="1" applyFill="1" applyBorder="1" applyAlignment="1">
      <alignment horizontal="left" vertical="center" wrapText="1"/>
    </xf>
    <xf numFmtId="0" fontId="29" fillId="3" borderId="18" xfId="0" applyFont="1" applyFill="1" applyBorder="1" applyAlignment="1">
      <alignment horizontal="left" vertical="center" wrapText="1"/>
    </xf>
    <xf numFmtId="0" fontId="29" fillId="3" borderId="20" xfId="0" applyFont="1" applyFill="1" applyBorder="1" applyAlignment="1">
      <alignment horizontal="left" vertical="center" wrapText="1"/>
    </xf>
    <xf numFmtId="0" fontId="11" fillId="4" borderId="0" xfId="0" applyFont="1" applyFill="1" applyAlignment="1">
      <alignment horizontal="center" vertical="center" wrapText="1"/>
    </xf>
    <xf numFmtId="0" fontId="11" fillId="4" borderId="8" xfId="0" applyFont="1" applyFill="1" applyBorder="1" applyAlignment="1">
      <alignment horizontal="center" vertical="center" wrapText="1"/>
    </xf>
    <xf numFmtId="0" fontId="5" fillId="0" borderId="0" xfId="2" applyFont="1" applyAlignment="1">
      <alignment horizontal="left" vertical="top" wrapText="1"/>
    </xf>
    <xf numFmtId="0" fontId="16" fillId="2" borderId="0" xfId="0" applyFont="1" applyFill="1" applyAlignment="1">
      <alignment horizontal="left"/>
    </xf>
    <xf numFmtId="0" fontId="17" fillId="8" borderId="8" xfId="0" applyFont="1" applyFill="1" applyBorder="1" applyAlignment="1">
      <alignment horizontal="left" vertical="top" wrapText="1"/>
    </xf>
  </cellXfs>
  <cellStyles count="5">
    <cellStyle name="Komma" xfId="1" builtinId="3"/>
    <cellStyle name="Link" xfId="4" builtinId="8"/>
    <cellStyle name="Prozent" xfId="3" builtinId="5"/>
    <cellStyle name="Standard" xfId="0" builtinId="0"/>
    <cellStyle name="Standard 2" xfId="2" xr:uid="{D72FF45A-9EF9-477D-AB29-291F7AB21F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berec.europa.eu/en/document-categories/berec/reports/berec-report-on-wacc-parameter-calculations-according-to-the-european-commissions-wacc-notice-of-6th-november-2019-wacc-parameters-report-202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85BC-49FF-44C3-BBB7-1A948E811A0B}">
  <dimension ref="A2:G70"/>
  <sheetViews>
    <sheetView showGridLines="0" tabSelected="1" zoomScale="90" zoomScaleNormal="90" workbookViewId="0">
      <selection activeCell="N24" sqref="N24"/>
    </sheetView>
  </sheetViews>
  <sheetFormatPr baseColWidth="10" defaultRowHeight="15" x14ac:dyDescent="0.25"/>
  <cols>
    <col min="1" max="1" width="3.7109375" customWidth="1"/>
    <col min="2" max="2" width="4.85546875" customWidth="1"/>
    <col min="3" max="4" width="44.7109375" customWidth="1"/>
    <col min="5" max="7" width="22.7109375" customWidth="1"/>
  </cols>
  <sheetData>
    <row r="2" spans="1:7" ht="18.75" x14ac:dyDescent="0.25">
      <c r="A2" s="12" t="s">
        <v>166</v>
      </c>
      <c r="D2" s="254" t="s">
        <v>240</v>
      </c>
    </row>
    <row r="3" spans="1:7" ht="15.75" thickBot="1" x14ac:dyDescent="0.3"/>
    <row r="4" spans="1:7" ht="15.75" thickBot="1" x14ac:dyDescent="0.3">
      <c r="B4" s="6" t="s">
        <v>189</v>
      </c>
      <c r="C4" s="7"/>
      <c r="D4" s="8"/>
      <c r="E4" s="9"/>
      <c r="F4" s="9"/>
      <c r="G4" s="29"/>
    </row>
    <row r="5" spans="1:7" ht="38.25" x14ac:dyDescent="0.25">
      <c r="B5" s="22"/>
      <c r="C5" s="20"/>
      <c r="D5" s="20"/>
      <c r="E5" s="21" t="s">
        <v>71</v>
      </c>
      <c r="F5" s="21" t="s">
        <v>72</v>
      </c>
      <c r="G5" s="23" t="s">
        <v>164</v>
      </c>
    </row>
    <row r="6" spans="1:7" x14ac:dyDescent="0.25">
      <c r="B6" s="24"/>
      <c r="C6" s="18"/>
      <c r="D6" s="18"/>
      <c r="E6" s="16" t="s">
        <v>6</v>
      </c>
      <c r="F6" s="16" t="s">
        <v>6</v>
      </c>
      <c r="G6" s="25" t="s">
        <v>6</v>
      </c>
    </row>
    <row r="7" spans="1:7" x14ac:dyDescent="0.25">
      <c r="B7" s="4" t="s">
        <v>152</v>
      </c>
      <c r="C7" s="19" t="s">
        <v>151</v>
      </c>
      <c r="D7" s="46" t="s">
        <v>158</v>
      </c>
      <c r="E7" s="45">
        <f>IF('(A1) Angaben zum Förder-Projekt'!$E$52&gt;0,'(K1) Kalk. (Leer-)Rohrstrecken'!E51,IF('(A1) Angaben zum Förder-Projekt'!E37&gt;0,'(K1) Kalk. (Leer-)Rohrstrecken'!E30,"keine Daten"))</f>
        <v>0.36620265387802226</v>
      </c>
      <c r="F7" s="45">
        <f>IF('(A1) Angaben zum Förder-Projekt'!$E$52&gt;0,'(K1) Kalk. (Leer-)Rohrstrecken'!F51,IF('(A1) Angaben zum Förder-Projekt'!E37&gt;0,'(K1) Kalk. (Leer-)Rohrstrecken'!F30,"keine Daten"))</f>
        <v>0.64140774242373788</v>
      </c>
      <c r="G7" s="30"/>
    </row>
    <row r="8" spans="1:7" ht="15.75" x14ac:dyDescent="0.25">
      <c r="B8" s="4"/>
      <c r="C8" s="27"/>
      <c r="D8" s="49" t="s">
        <v>159</v>
      </c>
      <c r="E8" s="49">
        <f>IFERROR(E7/12,"keine Daten")</f>
        <v>3.0516887823168522E-2</v>
      </c>
      <c r="F8" s="49">
        <f>IFERROR(F7/12,"keine Daten")</f>
        <v>5.3450645201978154E-2</v>
      </c>
      <c r="G8" s="31"/>
    </row>
    <row r="9" spans="1:7" x14ac:dyDescent="0.25">
      <c r="B9" s="4" t="s">
        <v>153</v>
      </c>
      <c r="C9" s="19" t="s">
        <v>150</v>
      </c>
      <c r="D9" s="47" t="s">
        <v>160</v>
      </c>
      <c r="E9" s="45">
        <f>'(K2) Kalk. Glasfaserstrecken'!E24</f>
        <v>2.654459931171866E-2</v>
      </c>
      <c r="F9" s="45">
        <f>'(K2) Kalk. Glasfaserstrecken'!F24</f>
        <v>4.8180417943158443E-2</v>
      </c>
      <c r="G9" s="31"/>
    </row>
    <row r="10" spans="1:7" ht="15.75" x14ac:dyDescent="0.25">
      <c r="B10" s="4"/>
      <c r="C10" s="27"/>
      <c r="D10" s="49" t="s">
        <v>161</v>
      </c>
      <c r="E10" s="49">
        <f>IFERROR(E9/12,"keine Daten")</f>
        <v>2.2120499426432215E-3</v>
      </c>
      <c r="F10" s="49">
        <f>IFERROR(F9/12,"keine Daten")</f>
        <v>4.0150348285965367E-3</v>
      </c>
      <c r="G10" s="31"/>
    </row>
    <row r="11" spans="1:7" x14ac:dyDescent="0.25">
      <c r="B11" s="4"/>
      <c r="C11" s="27"/>
      <c r="D11" s="47" t="s">
        <v>162</v>
      </c>
      <c r="E11" s="45">
        <f>'(K2) Kalk. Glasfaserstrecken'!E25</f>
        <v>5.308919862343732E-2</v>
      </c>
      <c r="F11" s="45">
        <f>'(K2) Kalk. Glasfaserstrecken'!F25</f>
        <v>9.6360835886316887E-2</v>
      </c>
      <c r="G11" s="31"/>
    </row>
    <row r="12" spans="1:7" x14ac:dyDescent="0.25">
      <c r="B12" s="4"/>
      <c r="C12" s="27"/>
      <c r="D12" s="259" t="s">
        <v>163</v>
      </c>
      <c r="E12" s="259">
        <f>IFERROR(E11/12,"keine Daten")</f>
        <v>4.424099885286443E-3</v>
      </c>
      <c r="F12" s="259">
        <f>IFERROR(F11/12,"keine Daten")</f>
        <v>8.0300696571930733E-3</v>
      </c>
      <c r="G12" s="32"/>
    </row>
    <row r="13" spans="1:7" x14ac:dyDescent="0.25">
      <c r="B13" s="4" t="s">
        <v>154</v>
      </c>
      <c r="C13" s="19" t="s">
        <v>149</v>
      </c>
      <c r="D13" s="47" t="s">
        <v>237</v>
      </c>
      <c r="E13" s="28"/>
      <c r="F13" s="28"/>
      <c r="G13" s="48">
        <f>'(K3) Kalk. TLN-Zugang passiv'!G8</f>
        <v>1586.2454853335375</v>
      </c>
    </row>
    <row r="14" spans="1:7" ht="31.5" x14ac:dyDescent="0.25">
      <c r="B14" s="4"/>
      <c r="C14" s="27"/>
      <c r="D14" s="50" t="s">
        <v>238</v>
      </c>
      <c r="E14" s="51"/>
      <c r="F14" s="51"/>
      <c r="G14" s="52">
        <f>IFERROR(G13/12,"keine Daten")</f>
        <v>132.1871237777948</v>
      </c>
    </row>
    <row r="15" spans="1:7" x14ac:dyDescent="0.25">
      <c r="B15" s="4" t="s">
        <v>155</v>
      </c>
      <c r="C15" s="19" t="s">
        <v>167</v>
      </c>
      <c r="D15" s="47" t="s">
        <v>156</v>
      </c>
      <c r="E15" s="28"/>
      <c r="F15" s="28"/>
      <c r="G15" s="48">
        <f>'(K4) Kalk. TLN-Zugang aktiv'!G23</f>
        <v>1683.077782000204</v>
      </c>
    </row>
    <row r="16" spans="1:7" ht="15.75" x14ac:dyDescent="0.25">
      <c r="B16" s="26"/>
      <c r="C16" s="27"/>
      <c r="D16" s="49" t="s">
        <v>157</v>
      </c>
      <c r="E16" s="55"/>
      <c r="F16" s="55"/>
      <c r="G16" s="52">
        <f>IFERROR(G15/12,"keine Daten")</f>
        <v>140.25648183335034</v>
      </c>
    </row>
    <row r="17" spans="2:7" ht="15.75" x14ac:dyDescent="0.25">
      <c r="B17" s="4" t="s">
        <v>220</v>
      </c>
      <c r="C17" s="3" t="s">
        <v>221</v>
      </c>
      <c r="D17" s="56" t="s">
        <v>223</v>
      </c>
      <c r="E17" s="57"/>
      <c r="F17" s="57"/>
      <c r="G17" s="58">
        <f>'(A2) Angaben Kollokationsfläche'!I19</f>
        <v>6.18</v>
      </c>
    </row>
    <row r="18" spans="2:7" ht="15.75" thickBot="1" x14ac:dyDescent="0.3">
      <c r="B18" s="17"/>
      <c r="C18" s="10"/>
      <c r="D18" s="10"/>
      <c r="E18" s="10"/>
      <c r="F18" s="10"/>
      <c r="G18" s="5"/>
    </row>
    <row r="19" spans="2:7" ht="15.75" thickBot="1" x14ac:dyDescent="0.3"/>
    <row r="20" spans="2:7" ht="15.75" thickBot="1" x14ac:dyDescent="0.3">
      <c r="B20" s="6" t="s">
        <v>190</v>
      </c>
      <c r="C20" s="7"/>
      <c r="D20" s="8"/>
      <c r="E20" s="9"/>
      <c r="F20" s="9"/>
      <c r="G20" s="29"/>
    </row>
    <row r="21" spans="2:7" x14ac:dyDescent="0.25">
      <c r="B21" s="35" t="s">
        <v>176</v>
      </c>
      <c r="C21" s="14"/>
      <c r="D21" s="14"/>
      <c r="E21" s="14"/>
      <c r="F21" s="14"/>
      <c r="G21" s="36"/>
    </row>
    <row r="22" spans="2:7" x14ac:dyDescent="0.25">
      <c r="B22" s="39" t="s">
        <v>174</v>
      </c>
      <c r="C22" s="11"/>
      <c r="D22" s="11"/>
      <c r="E22" s="11"/>
      <c r="F22" s="11"/>
      <c r="G22" s="37"/>
    </row>
    <row r="23" spans="2:7" x14ac:dyDescent="0.25">
      <c r="B23" s="38"/>
      <c r="C23" s="266" t="s">
        <v>175</v>
      </c>
      <c r="D23" s="266"/>
      <c r="E23" s="266"/>
      <c r="F23" s="266"/>
      <c r="G23" s="267"/>
    </row>
    <row r="24" spans="2:7" ht="15" customHeight="1" x14ac:dyDescent="0.25">
      <c r="B24" s="38"/>
      <c r="C24" s="274" t="s">
        <v>197</v>
      </c>
      <c r="D24" s="274"/>
      <c r="E24" s="274"/>
      <c r="F24" s="274"/>
      <c r="G24" s="275"/>
    </row>
    <row r="25" spans="2:7" x14ac:dyDescent="0.25">
      <c r="B25" s="39" t="s">
        <v>196</v>
      </c>
      <c r="C25" s="11"/>
      <c r="D25" s="11"/>
      <c r="E25" s="11"/>
      <c r="F25" s="11"/>
      <c r="G25" s="37"/>
    </row>
    <row r="26" spans="2:7" ht="15" customHeight="1" x14ac:dyDescent="0.25">
      <c r="B26" s="38"/>
      <c r="C26" s="268" t="s">
        <v>177</v>
      </c>
      <c r="D26" s="268"/>
      <c r="E26" s="268"/>
      <c r="F26" s="268"/>
      <c r="G26" s="269"/>
    </row>
    <row r="27" spans="2:7" ht="15" customHeight="1" x14ac:dyDescent="0.25">
      <c r="B27" s="38"/>
      <c r="C27" s="276" t="s">
        <v>188</v>
      </c>
      <c r="D27" s="276"/>
      <c r="E27" s="276"/>
      <c r="F27" s="276"/>
      <c r="G27" s="277"/>
    </row>
    <row r="28" spans="2:7" ht="45" customHeight="1" x14ac:dyDescent="0.25">
      <c r="B28" s="4" t="s">
        <v>49</v>
      </c>
      <c r="C28" s="3" t="s">
        <v>216</v>
      </c>
      <c r="D28" s="278" t="s">
        <v>233</v>
      </c>
      <c r="E28" s="278"/>
      <c r="F28" s="278"/>
      <c r="G28" s="279"/>
    </row>
    <row r="29" spans="2:7" ht="45" x14ac:dyDescent="0.25">
      <c r="B29" s="4" t="s">
        <v>50</v>
      </c>
      <c r="C29" s="3" t="s">
        <v>217</v>
      </c>
      <c r="D29" s="280"/>
      <c r="E29" s="280"/>
      <c r="F29" s="280"/>
      <c r="G29" s="281"/>
    </row>
    <row r="30" spans="2:7" ht="30" customHeight="1" x14ac:dyDescent="0.25">
      <c r="B30" s="4" t="s">
        <v>51</v>
      </c>
      <c r="C30" s="3" t="s">
        <v>48</v>
      </c>
      <c r="D30" s="260" t="s">
        <v>247</v>
      </c>
      <c r="E30" s="260"/>
      <c r="F30" s="260"/>
      <c r="G30" s="261"/>
    </row>
    <row r="31" spans="2:7" x14ac:dyDescent="0.25">
      <c r="B31" s="4" t="s">
        <v>111</v>
      </c>
      <c r="C31" s="15" t="s">
        <v>102</v>
      </c>
      <c r="D31" s="260" t="s">
        <v>225</v>
      </c>
      <c r="E31" s="260"/>
      <c r="F31" s="260"/>
      <c r="G31" s="261"/>
    </row>
    <row r="32" spans="2:7" x14ac:dyDescent="0.25">
      <c r="B32" s="4" t="s">
        <v>112</v>
      </c>
      <c r="C32" s="15" t="s">
        <v>101</v>
      </c>
      <c r="D32" s="260" t="s">
        <v>226</v>
      </c>
      <c r="E32" s="260"/>
      <c r="F32" s="260"/>
      <c r="G32" s="261"/>
    </row>
    <row r="33" spans="2:7" ht="55.5" customHeight="1" x14ac:dyDescent="0.25">
      <c r="B33" s="4" t="s">
        <v>16</v>
      </c>
      <c r="C33" s="15" t="s">
        <v>97</v>
      </c>
      <c r="D33" s="266" t="s">
        <v>224</v>
      </c>
      <c r="E33" s="266"/>
      <c r="F33" s="266"/>
      <c r="G33" s="267"/>
    </row>
    <row r="34" spans="2:7" ht="55.5" customHeight="1" x14ac:dyDescent="0.25">
      <c r="B34" s="4" t="s">
        <v>17</v>
      </c>
      <c r="C34" s="3" t="s">
        <v>99</v>
      </c>
      <c r="D34" s="272"/>
      <c r="E34" s="272"/>
      <c r="F34" s="272"/>
      <c r="G34" s="273"/>
    </row>
    <row r="35" spans="2:7" ht="30" x14ac:dyDescent="0.25">
      <c r="B35" s="4" t="s">
        <v>18</v>
      </c>
      <c r="C35" s="3" t="s">
        <v>98</v>
      </c>
      <c r="D35" s="266" t="s">
        <v>182</v>
      </c>
      <c r="E35" s="266"/>
      <c r="F35" s="266"/>
      <c r="G35" s="267"/>
    </row>
    <row r="36" spans="2:7" ht="45" x14ac:dyDescent="0.25">
      <c r="B36" s="4" t="s">
        <v>70</v>
      </c>
      <c r="C36" s="3" t="s">
        <v>100</v>
      </c>
      <c r="D36" s="272"/>
      <c r="E36" s="272"/>
      <c r="F36" s="272"/>
      <c r="G36" s="273"/>
    </row>
    <row r="37" spans="2:7" ht="44.25" customHeight="1" x14ac:dyDescent="0.25">
      <c r="B37" s="4" t="s">
        <v>19</v>
      </c>
      <c r="C37" s="15" t="s">
        <v>103</v>
      </c>
      <c r="D37" s="266" t="s">
        <v>185</v>
      </c>
      <c r="E37" s="266"/>
      <c r="F37" s="266"/>
      <c r="G37" s="267"/>
    </row>
    <row r="38" spans="2:7" ht="44.25" customHeight="1" x14ac:dyDescent="0.25">
      <c r="B38" s="4" t="s">
        <v>20</v>
      </c>
      <c r="C38" s="3" t="s">
        <v>104</v>
      </c>
      <c r="D38" s="272"/>
      <c r="E38" s="272"/>
      <c r="F38" s="272"/>
      <c r="G38" s="273"/>
    </row>
    <row r="39" spans="2:7" ht="30" x14ac:dyDescent="0.25">
      <c r="B39" s="4" t="s">
        <v>21</v>
      </c>
      <c r="C39" s="3" t="s">
        <v>127</v>
      </c>
      <c r="D39" s="266"/>
      <c r="E39" s="266"/>
      <c r="F39" s="266"/>
      <c r="G39" s="267"/>
    </row>
    <row r="40" spans="2:7" ht="45" x14ac:dyDescent="0.25">
      <c r="B40" s="4" t="s">
        <v>22</v>
      </c>
      <c r="C40" s="3" t="s">
        <v>128</v>
      </c>
      <c r="D40" s="272"/>
      <c r="E40" s="272"/>
      <c r="F40" s="272"/>
      <c r="G40" s="273"/>
    </row>
    <row r="41" spans="2:7" ht="30" x14ac:dyDescent="0.25">
      <c r="B41" s="4" t="s">
        <v>25</v>
      </c>
      <c r="C41" s="15" t="s">
        <v>105</v>
      </c>
      <c r="D41" s="266" t="s">
        <v>187</v>
      </c>
      <c r="E41" s="266"/>
      <c r="F41" s="266"/>
      <c r="G41" s="267"/>
    </row>
    <row r="42" spans="2:7" ht="30" x14ac:dyDescent="0.25">
      <c r="B42" s="4" t="s">
        <v>26</v>
      </c>
      <c r="C42" s="3" t="s">
        <v>106</v>
      </c>
      <c r="D42" s="272"/>
      <c r="E42" s="272"/>
      <c r="F42" s="272"/>
      <c r="G42" s="273"/>
    </row>
    <row r="43" spans="2:7" x14ac:dyDescent="0.25">
      <c r="B43" s="4" t="s">
        <v>35</v>
      </c>
      <c r="C43" s="3" t="s">
        <v>93</v>
      </c>
      <c r="D43" s="61"/>
      <c r="E43" s="61"/>
      <c r="F43" s="61"/>
      <c r="G43" s="62"/>
    </row>
    <row r="44" spans="2:7" ht="45" x14ac:dyDescent="0.25">
      <c r="B44" s="4" t="s">
        <v>36</v>
      </c>
      <c r="C44" s="3" t="s">
        <v>92</v>
      </c>
      <c r="D44" s="61"/>
      <c r="E44" s="61"/>
      <c r="F44" s="61"/>
      <c r="G44" s="62"/>
    </row>
    <row r="45" spans="2:7" ht="30" x14ac:dyDescent="0.25">
      <c r="B45" s="4" t="s">
        <v>43</v>
      </c>
      <c r="C45" s="15" t="s">
        <v>107</v>
      </c>
      <c r="D45" s="266"/>
      <c r="E45" s="266"/>
      <c r="F45" s="266"/>
      <c r="G45" s="267"/>
    </row>
    <row r="46" spans="2:7" ht="30" x14ac:dyDescent="0.25">
      <c r="B46" s="4" t="s">
        <v>44</v>
      </c>
      <c r="C46" s="3" t="s">
        <v>108</v>
      </c>
      <c r="D46" s="272"/>
      <c r="E46" s="272"/>
      <c r="F46" s="272"/>
      <c r="G46" s="273"/>
    </row>
    <row r="47" spans="2:7" x14ac:dyDescent="0.25">
      <c r="B47" s="4" t="s">
        <v>55</v>
      </c>
      <c r="C47" s="1" t="s">
        <v>94</v>
      </c>
      <c r="D47" s="61"/>
      <c r="E47" s="61"/>
      <c r="F47" s="61"/>
      <c r="G47" s="62"/>
    </row>
    <row r="48" spans="2:7" ht="45" x14ac:dyDescent="0.25">
      <c r="B48" s="4" t="s">
        <v>56</v>
      </c>
      <c r="C48" s="1" t="s">
        <v>91</v>
      </c>
      <c r="D48" s="61"/>
      <c r="E48" s="61"/>
      <c r="F48" s="61"/>
      <c r="G48" s="62"/>
    </row>
    <row r="49" spans="2:7" ht="30" x14ac:dyDescent="0.25">
      <c r="B49" s="4" t="s">
        <v>57</v>
      </c>
      <c r="C49" s="15" t="s">
        <v>59</v>
      </c>
      <c r="D49" s="61"/>
      <c r="E49" s="61"/>
      <c r="F49" s="61"/>
      <c r="G49" s="62"/>
    </row>
    <row r="50" spans="2:7" ht="30" x14ac:dyDescent="0.25">
      <c r="B50" s="4" t="s">
        <v>58</v>
      </c>
      <c r="C50" s="3" t="s">
        <v>60</v>
      </c>
      <c r="D50" s="61"/>
      <c r="E50" s="61"/>
      <c r="F50" s="61"/>
      <c r="G50" s="62"/>
    </row>
    <row r="51" spans="2:7" x14ac:dyDescent="0.25">
      <c r="B51" s="4"/>
      <c r="C51" s="19"/>
      <c r="D51" s="61"/>
      <c r="E51" s="61"/>
      <c r="F51" s="61"/>
      <c r="G51" s="62"/>
    </row>
    <row r="52" spans="2:7" ht="36" customHeight="1" x14ac:dyDescent="0.25">
      <c r="B52" s="4" t="s">
        <v>184</v>
      </c>
      <c r="C52" s="268" t="s">
        <v>183</v>
      </c>
      <c r="D52" s="268"/>
      <c r="E52" s="268"/>
      <c r="F52" s="268"/>
      <c r="G52" s="269"/>
    </row>
    <row r="53" spans="2:7" ht="30" customHeight="1" x14ac:dyDescent="0.25">
      <c r="B53" s="4" t="s">
        <v>184</v>
      </c>
      <c r="C53" s="268" t="s">
        <v>186</v>
      </c>
      <c r="D53" s="268"/>
      <c r="E53" s="268"/>
      <c r="F53" s="268"/>
      <c r="G53" s="269"/>
    </row>
    <row r="54" spans="2:7" x14ac:dyDescent="0.25">
      <c r="B54" s="39" t="s">
        <v>232</v>
      </c>
      <c r="C54" s="11"/>
      <c r="D54" s="11"/>
      <c r="E54" s="11"/>
      <c r="F54" s="11"/>
      <c r="G54" s="37"/>
    </row>
    <row r="55" spans="2:7" ht="15" customHeight="1" x14ac:dyDescent="0.25">
      <c r="B55" s="26"/>
      <c r="C55" s="268" t="s">
        <v>181</v>
      </c>
      <c r="D55" s="268"/>
      <c r="E55" s="268"/>
      <c r="F55" s="268"/>
      <c r="G55" s="269"/>
    </row>
    <row r="56" spans="2:7" ht="15" customHeight="1" x14ac:dyDescent="0.25">
      <c r="B56" s="26"/>
      <c r="C56" s="270" t="s">
        <v>188</v>
      </c>
      <c r="D56" s="270"/>
      <c r="E56" s="270"/>
      <c r="F56" s="270"/>
      <c r="G56" s="271"/>
    </row>
    <row r="57" spans="2:7" x14ac:dyDescent="0.25">
      <c r="B57" s="39" t="s">
        <v>195</v>
      </c>
      <c r="C57" s="59"/>
      <c r="D57" s="59"/>
      <c r="E57" s="59"/>
      <c r="F57" s="59"/>
      <c r="G57" s="60"/>
    </row>
    <row r="58" spans="2:7" x14ac:dyDescent="0.25">
      <c r="B58" s="38"/>
      <c r="C58" s="266" t="s">
        <v>178</v>
      </c>
      <c r="D58" s="266"/>
      <c r="E58" s="266"/>
      <c r="F58" s="266"/>
      <c r="G58" s="267"/>
    </row>
    <row r="59" spans="2:7" x14ac:dyDescent="0.25">
      <c r="B59" s="39" t="s">
        <v>194</v>
      </c>
      <c r="C59" s="59"/>
      <c r="D59" s="59"/>
      <c r="E59" s="59"/>
      <c r="F59" s="59"/>
      <c r="G59" s="60"/>
    </row>
    <row r="60" spans="2:7" x14ac:dyDescent="0.25">
      <c r="B60" s="38"/>
      <c r="C60" s="266" t="s">
        <v>180</v>
      </c>
      <c r="D60" s="266"/>
      <c r="E60" s="266"/>
      <c r="F60" s="266"/>
      <c r="G60" s="267"/>
    </row>
    <row r="61" spans="2:7" x14ac:dyDescent="0.25">
      <c r="B61" s="38"/>
      <c r="C61" s="262" t="s">
        <v>82</v>
      </c>
      <c r="D61" s="262"/>
      <c r="E61" s="262"/>
      <c r="F61" s="262"/>
      <c r="G61" s="263"/>
    </row>
    <row r="62" spans="2:7" x14ac:dyDescent="0.25">
      <c r="B62" s="39" t="s">
        <v>193</v>
      </c>
      <c r="C62" s="59"/>
      <c r="D62" s="59"/>
      <c r="E62" s="59"/>
      <c r="F62" s="59"/>
      <c r="G62" s="60"/>
    </row>
    <row r="63" spans="2:7" x14ac:dyDescent="0.25">
      <c r="B63" s="38"/>
      <c r="C63" s="266" t="s">
        <v>179</v>
      </c>
      <c r="D63" s="266"/>
      <c r="E63" s="266"/>
      <c r="F63" s="266"/>
      <c r="G63" s="267"/>
    </row>
    <row r="64" spans="2:7" x14ac:dyDescent="0.25">
      <c r="B64" s="38"/>
      <c r="C64" s="262" t="s">
        <v>82</v>
      </c>
      <c r="D64" s="262"/>
      <c r="E64" s="262"/>
      <c r="F64" s="262"/>
      <c r="G64" s="263"/>
    </row>
    <row r="65" spans="2:7" x14ac:dyDescent="0.25">
      <c r="B65" s="39" t="s">
        <v>191</v>
      </c>
      <c r="C65" s="59"/>
      <c r="D65" s="59"/>
      <c r="E65" s="59"/>
      <c r="F65" s="59"/>
      <c r="G65" s="60"/>
    </row>
    <row r="66" spans="2:7" x14ac:dyDescent="0.25">
      <c r="B66" s="38"/>
      <c r="C66" s="262" t="s">
        <v>245</v>
      </c>
      <c r="D66" s="262"/>
      <c r="E66" s="262"/>
      <c r="F66" s="262"/>
      <c r="G66" s="263"/>
    </row>
    <row r="67" spans="2:7" x14ac:dyDescent="0.25">
      <c r="B67" s="38"/>
      <c r="C67" s="262" t="s">
        <v>82</v>
      </c>
      <c r="D67" s="262"/>
      <c r="E67" s="262"/>
      <c r="F67" s="262"/>
      <c r="G67" s="263"/>
    </row>
    <row r="68" spans="2:7" x14ac:dyDescent="0.25">
      <c r="B68" s="39" t="s">
        <v>192</v>
      </c>
      <c r="C68" s="59"/>
      <c r="D68" s="59"/>
      <c r="E68" s="59"/>
      <c r="F68" s="59"/>
      <c r="G68" s="60"/>
    </row>
    <row r="69" spans="2:7" x14ac:dyDescent="0.25">
      <c r="B69" s="38"/>
      <c r="C69" s="262" t="s">
        <v>246</v>
      </c>
      <c r="D69" s="262"/>
      <c r="E69" s="262"/>
      <c r="F69" s="262"/>
      <c r="G69" s="263"/>
    </row>
    <row r="70" spans="2:7" ht="15.75" thickBot="1" x14ac:dyDescent="0.3">
      <c r="B70" s="40"/>
      <c r="C70" s="264" t="s">
        <v>82</v>
      </c>
      <c r="D70" s="264"/>
      <c r="E70" s="264"/>
      <c r="F70" s="264"/>
      <c r="G70" s="265"/>
    </row>
  </sheetData>
  <sheetProtection algorithmName="SHA-512" hashValue="i8CtttV32LkCayy1vgy/HRuzUtvzaM7DXIaQO8Xqeb+PvnMA2IIJh/b5RweXCa0ec6zaTi8qCz9C4jgq5sP5RQ==" saltValue="RgqsnBB7mjg1YXpK8ynsGw==" spinCount="100000" sheet="1" objects="1" scenarios="1"/>
  <mergeCells count="27">
    <mergeCell ref="C23:G23"/>
    <mergeCell ref="C26:G26"/>
    <mergeCell ref="C58:G58"/>
    <mergeCell ref="D39:G40"/>
    <mergeCell ref="D41:G42"/>
    <mergeCell ref="D45:G46"/>
    <mergeCell ref="C53:G53"/>
    <mergeCell ref="C52:G52"/>
    <mergeCell ref="C24:G24"/>
    <mergeCell ref="C27:G27"/>
    <mergeCell ref="D28:G29"/>
    <mergeCell ref="D30:G30"/>
    <mergeCell ref="D33:G34"/>
    <mergeCell ref="D35:G36"/>
    <mergeCell ref="D37:G38"/>
    <mergeCell ref="D31:G31"/>
    <mergeCell ref="C70:G70"/>
    <mergeCell ref="C60:G60"/>
    <mergeCell ref="C61:G61"/>
    <mergeCell ref="C63:G63"/>
    <mergeCell ref="C55:G55"/>
    <mergeCell ref="C56:G56"/>
    <mergeCell ref="D32:G32"/>
    <mergeCell ref="C66:G66"/>
    <mergeCell ref="C64:G64"/>
    <mergeCell ref="C67:G67"/>
    <mergeCell ref="C69:G69"/>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257FD-8BFF-46FE-8478-94AD2FC46AE6}">
  <dimension ref="A1:P82"/>
  <sheetViews>
    <sheetView showGridLines="0" zoomScaleNormal="100" workbookViewId="0">
      <selection activeCell="F63" sqref="F63"/>
    </sheetView>
  </sheetViews>
  <sheetFormatPr baseColWidth="10" defaultColWidth="11.42578125" defaultRowHeight="15" x14ac:dyDescent="0.25"/>
  <cols>
    <col min="1" max="1" width="3.28515625" customWidth="1"/>
    <col min="2" max="2" width="5.85546875" customWidth="1"/>
    <col min="3" max="3" width="42.42578125" customWidth="1"/>
    <col min="4" max="4" width="84.28515625" customWidth="1"/>
    <col min="5" max="12" width="17.42578125" customWidth="1"/>
  </cols>
  <sheetData>
    <row r="1" spans="1:12" ht="8.25" customHeight="1" x14ac:dyDescent="0.25"/>
    <row r="2" spans="1:12" ht="18.75" x14ac:dyDescent="0.25">
      <c r="A2" s="12" t="s">
        <v>64</v>
      </c>
      <c r="C2" s="63"/>
      <c r="D2" s="64" t="s">
        <v>188</v>
      </c>
      <c r="E2" s="65"/>
      <c r="F2" s="65"/>
      <c r="G2" s="65"/>
      <c r="H2" s="65"/>
      <c r="I2" s="65"/>
      <c r="J2" s="65"/>
      <c r="K2" s="65"/>
      <c r="L2" s="66"/>
    </row>
    <row r="3" spans="1:12" ht="15.75" thickBot="1" x14ac:dyDescent="0.3">
      <c r="A3" s="67"/>
      <c r="C3" s="63"/>
      <c r="D3" s="68"/>
      <c r="E3" s="65"/>
      <c r="F3" s="65"/>
      <c r="G3" s="65"/>
      <c r="H3" s="65"/>
      <c r="I3" s="65"/>
      <c r="J3" s="65"/>
      <c r="K3" s="65"/>
      <c r="L3" s="66"/>
    </row>
    <row r="4" spans="1:12" ht="15.75" thickBot="1" x14ac:dyDescent="0.3">
      <c r="A4" s="67"/>
      <c r="B4" s="6" t="s">
        <v>63</v>
      </c>
      <c r="C4" s="7"/>
      <c r="D4" s="8"/>
      <c r="E4" s="9"/>
      <c r="F4" s="9"/>
      <c r="G4" s="9"/>
      <c r="H4" s="9"/>
      <c r="I4" s="9"/>
      <c r="J4" s="9"/>
      <c r="K4" s="9"/>
      <c r="L4" s="69"/>
    </row>
    <row r="5" spans="1:12" x14ac:dyDescent="0.25">
      <c r="A5" s="67"/>
      <c r="B5" s="70"/>
      <c r="C5" s="11"/>
      <c r="D5" s="71" t="s">
        <v>2</v>
      </c>
      <c r="E5" s="72"/>
      <c r="F5" s="72"/>
      <c r="G5" s="72"/>
      <c r="H5" s="72"/>
      <c r="I5" s="72"/>
      <c r="J5" s="72"/>
      <c r="K5" s="72"/>
      <c r="L5" s="73" t="s">
        <v>3</v>
      </c>
    </row>
    <row r="6" spans="1:12" ht="15.75" x14ac:dyDescent="0.25">
      <c r="A6" s="67"/>
      <c r="B6" s="70"/>
      <c r="C6" s="74" t="s">
        <v>214</v>
      </c>
      <c r="D6" s="71"/>
      <c r="E6" s="72"/>
      <c r="F6" s="72"/>
      <c r="G6" s="72"/>
      <c r="H6" s="72"/>
      <c r="I6" s="72"/>
      <c r="J6" s="72"/>
      <c r="K6" s="72"/>
      <c r="L6" s="73"/>
    </row>
    <row r="7" spans="1:12" x14ac:dyDescent="0.25">
      <c r="A7" s="67"/>
      <c r="B7" s="75" t="s">
        <v>15</v>
      </c>
      <c r="C7" s="14"/>
      <c r="D7" s="76"/>
      <c r="E7" s="77"/>
      <c r="F7" s="77"/>
      <c r="G7" s="77"/>
      <c r="H7" s="77"/>
      <c r="I7" s="77"/>
      <c r="J7" s="77"/>
      <c r="K7" s="77"/>
      <c r="L7" s="78"/>
    </row>
    <row r="8" spans="1:12" ht="45" x14ac:dyDescent="0.25">
      <c r="A8" s="67"/>
      <c r="B8" s="4" t="s">
        <v>49</v>
      </c>
      <c r="C8" s="15" t="s">
        <v>216</v>
      </c>
      <c r="D8" s="79" t="s">
        <v>233</v>
      </c>
      <c r="E8" s="80"/>
      <c r="F8" s="80"/>
      <c r="G8" s="80"/>
      <c r="H8" s="80"/>
      <c r="I8" s="80"/>
      <c r="J8" s="80"/>
      <c r="K8" s="80"/>
      <c r="L8" s="41">
        <v>30</v>
      </c>
    </row>
    <row r="9" spans="1:12" ht="45" x14ac:dyDescent="0.25">
      <c r="A9" s="67"/>
      <c r="B9" s="4" t="s">
        <v>50</v>
      </c>
      <c r="C9" s="3" t="s">
        <v>217</v>
      </c>
      <c r="D9" s="81" t="s">
        <v>233</v>
      </c>
      <c r="E9" s="82"/>
      <c r="F9" s="82"/>
      <c r="G9" s="82"/>
      <c r="H9" s="82"/>
      <c r="I9" s="82"/>
      <c r="J9" s="82"/>
      <c r="K9" s="82"/>
      <c r="L9" s="33">
        <v>14</v>
      </c>
    </row>
    <row r="10" spans="1:12" x14ac:dyDescent="0.25">
      <c r="A10" s="67"/>
      <c r="B10" s="4"/>
      <c r="C10" s="83" t="s">
        <v>234</v>
      </c>
      <c r="D10" s="84"/>
      <c r="E10" s="84"/>
      <c r="F10" s="84"/>
      <c r="G10" s="84"/>
      <c r="H10" s="84"/>
      <c r="I10" s="84"/>
      <c r="J10" s="84"/>
      <c r="K10" s="84"/>
      <c r="L10" s="85">
        <f>SUM(L8:L9)</f>
        <v>44</v>
      </c>
    </row>
    <row r="11" spans="1:12" x14ac:dyDescent="0.25">
      <c r="A11" s="67"/>
      <c r="B11" s="4"/>
      <c r="C11" s="63"/>
      <c r="D11" s="68"/>
      <c r="E11" s="65"/>
      <c r="F11" s="65"/>
      <c r="G11" s="65"/>
      <c r="H11" s="65"/>
      <c r="I11" s="65"/>
      <c r="J11" s="65"/>
      <c r="K11" s="65"/>
      <c r="L11" s="86"/>
    </row>
    <row r="12" spans="1:12" ht="25.5" x14ac:dyDescent="0.25">
      <c r="A12" s="67"/>
      <c r="B12" s="4" t="s">
        <v>51</v>
      </c>
      <c r="C12" s="3" t="s">
        <v>48</v>
      </c>
      <c r="D12" s="87" t="s">
        <v>248</v>
      </c>
      <c r="E12" s="82"/>
      <c r="F12" s="82"/>
      <c r="G12" s="82"/>
      <c r="H12" s="82"/>
      <c r="I12" s="82"/>
      <c r="J12" s="82"/>
      <c r="K12" s="82"/>
      <c r="L12" s="42">
        <v>0.15</v>
      </c>
    </row>
    <row r="13" spans="1:12" x14ac:dyDescent="0.25">
      <c r="A13" s="67"/>
      <c r="B13" s="4"/>
      <c r="C13" s="83" t="s">
        <v>115</v>
      </c>
      <c r="D13" s="84"/>
      <c r="E13" s="84"/>
      <c r="F13" s="84"/>
      <c r="G13" s="84"/>
      <c r="H13" s="84"/>
      <c r="I13" s="84"/>
      <c r="J13" s="84"/>
      <c r="K13" s="84"/>
      <c r="L13" s="85">
        <f>L10*L12</f>
        <v>6.6</v>
      </c>
    </row>
    <row r="14" spans="1:12" x14ac:dyDescent="0.25">
      <c r="A14" s="67"/>
      <c r="B14" s="88"/>
      <c r="C14" s="89"/>
      <c r="D14" s="90"/>
      <c r="E14" s="91"/>
      <c r="F14" s="91"/>
      <c r="G14" s="91"/>
      <c r="H14" s="91"/>
      <c r="I14" s="91"/>
      <c r="J14" s="91"/>
      <c r="K14" s="91"/>
      <c r="L14" s="92"/>
    </row>
    <row r="15" spans="1:12" x14ac:dyDescent="0.25">
      <c r="A15" s="67"/>
      <c r="B15" s="70"/>
      <c r="C15" s="11"/>
      <c r="D15" s="93"/>
      <c r="E15" s="72"/>
      <c r="F15" s="72"/>
      <c r="G15" s="72"/>
      <c r="H15" s="282"/>
      <c r="I15" s="282"/>
      <c r="J15" s="94" t="s">
        <v>218</v>
      </c>
      <c r="K15" s="94" t="s">
        <v>218</v>
      </c>
      <c r="L15" s="95"/>
    </row>
    <row r="16" spans="1:12" ht="38.25" x14ac:dyDescent="0.25">
      <c r="A16" s="67"/>
      <c r="B16" s="96"/>
      <c r="C16" s="74" t="s">
        <v>215</v>
      </c>
      <c r="D16" s="93"/>
      <c r="E16" s="94"/>
      <c r="F16" s="94"/>
      <c r="G16" s="94"/>
      <c r="H16" s="97"/>
      <c r="I16" s="97"/>
      <c r="J16" s="94" t="s">
        <v>113</v>
      </c>
      <c r="K16" s="94" t="s">
        <v>114</v>
      </c>
      <c r="L16" s="73"/>
    </row>
    <row r="17" spans="1:16" x14ac:dyDescent="0.25">
      <c r="A17" s="67"/>
      <c r="B17" s="75"/>
      <c r="C17" s="98"/>
      <c r="D17" s="99"/>
      <c r="E17" s="16"/>
      <c r="F17" s="16"/>
      <c r="G17" s="16"/>
      <c r="H17" s="100"/>
      <c r="I17" s="100"/>
      <c r="J17" s="16" t="s">
        <v>6</v>
      </c>
      <c r="K17" s="16" t="s">
        <v>6</v>
      </c>
      <c r="L17" s="78"/>
    </row>
    <row r="18" spans="1:16" x14ac:dyDescent="0.25">
      <c r="A18" s="67"/>
      <c r="B18" s="4" t="s">
        <v>111</v>
      </c>
      <c r="C18" s="15" t="s">
        <v>102</v>
      </c>
      <c r="D18" s="79" t="s">
        <v>213</v>
      </c>
      <c r="E18" s="80"/>
      <c r="F18" s="80"/>
      <c r="G18" s="80"/>
      <c r="H18" s="80"/>
      <c r="I18" s="80"/>
      <c r="J18" s="101">
        <f>J30+J37+J52+J65+J80</f>
        <v>143149.45509999999</v>
      </c>
      <c r="K18" s="80"/>
      <c r="L18" s="43">
        <v>0.5</v>
      </c>
    </row>
    <row r="19" spans="1:16" x14ac:dyDescent="0.25">
      <c r="A19" s="67"/>
      <c r="B19" s="4" t="s">
        <v>112</v>
      </c>
      <c r="C19" s="15" t="s">
        <v>101</v>
      </c>
      <c r="D19" s="79" t="s">
        <v>213</v>
      </c>
      <c r="E19" s="82"/>
      <c r="F19" s="82"/>
      <c r="G19" s="82"/>
      <c r="H19" s="82"/>
      <c r="I19" s="82"/>
      <c r="J19" s="82"/>
      <c r="K19" s="101">
        <f>K30+K37+K52+K65+K80</f>
        <v>42944.83653</v>
      </c>
      <c r="L19" s="44">
        <v>0.15</v>
      </c>
    </row>
    <row r="20" spans="1:16" ht="15.75" thickBot="1" x14ac:dyDescent="0.3">
      <c r="A20" s="67"/>
      <c r="B20" s="102"/>
      <c r="C20" s="103"/>
      <c r="D20" s="104"/>
      <c r="E20" s="105"/>
      <c r="F20" s="105"/>
      <c r="G20" s="105"/>
      <c r="H20" s="105"/>
      <c r="I20" s="105"/>
      <c r="J20" s="105"/>
      <c r="K20" s="105"/>
      <c r="L20" s="106"/>
    </row>
    <row r="21" spans="1:16" ht="15.75" thickBot="1" x14ac:dyDescent="0.3">
      <c r="A21" s="67"/>
      <c r="C21" s="63"/>
      <c r="D21" s="68"/>
      <c r="E21" s="65"/>
      <c r="F21" s="65"/>
      <c r="G21" s="65"/>
      <c r="H21" s="65"/>
      <c r="I21" s="65"/>
      <c r="J21" s="65"/>
      <c r="K21" s="65"/>
      <c r="L21" s="66"/>
    </row>
    <row r="22" spans="1:16" ht="15.75" thickBot="1" x14ac:dyDescent="0.3">
      <c r="A22" s="67"/>
      <c r="B22" s="6" t="s">
        <v>62</v>
      </c>
      <c r="C22" s="7"/>
      <c r="D22" s="107"/>
      <c r="E22" s="9"/>
      <c r="F22" s="9"/>
      <c r="G22" s="9"/>
      <c r="H22" s="8"/>
      <c r="I22" s="8"/>
      <c r="J22" s="8"/>
      <c r="K22" s="9"/>
      <c r="L22" s="69"/>
    </row>
    <row r="23" spans="1:16" x14ac:dyDescent="0.25">
      <c r="A23" s="67"/>
      <c r="B23" s="70"/>
      <c r="C23" s="11"/>
      <c r="D23" s="93"/>
      <c r="E23" s="72"/>
      <c r="F23" s="72"/>
      <c r="G23" s="72"/>
      <c r="H23" s="282" t="s">
        <v>11</v>
      </c>
      <c r="I23" s="282"/>
      <c r="J23" s="108"/>
      <c r="K23" s="72"/>
      <c r="L23" s="95"/>
    </row>
    <row r="24" spans="1:16" ht="38.25" x14ac:dyDescent="0.25">
      <c r="A24" s="109"/>
      <c r="B24" s="96"/>
      <c r="C24" s="74" t="s">
        <v>116</v>
      </c>
      <c r="D24" s="93"/>
      <c r="E24" s="94" t="s">
        <v>4</v>
      </c>
      <c r="F24" s="94" t="s">
        <v>8</v>
      </c>
      <c r="G24" s="94" t="s">
        <v>9</v>
      </c>
      <c r="H24" s="97" t="s">
        <v>13</v>
      </c>
      <c r="I24" s="97" t="s">
        <v>10</v>
      </c>
      <c r="J24" s="94" t="s">
        <v>113</v>
      </c>
      <c r="K24" s="94" t="s">
        <v>114</v>
      </c>
      <c r="L24" s="73" t="s">
        <v>3</v>
      </c>
    </row>
    <row r="25" spans="1:16" x14ac:dyDescent="0.25">
      <c r="A25" s="109"/>
      <c r="B25" s="75" t="s">
        <v>15</v>
      </c>
      <c r="C25" s="98"/>
      <c r="D25" s="99"/>
      <c r="E25" s="16" t="s">
        <v>5</v>
      </c>
      <c r="F25" s="16" t="s">
        <v>6</v>
      </c>
      <c r="G25" s="16" t="s">
        <v>6</v>
      </c>
      <c r="H25" s="100" t="s">
        <v>6</v>
      </c>
      <c r="I25" s="100" t="s">
        <v>7</v>
      </c>
      <c r="J25" s="16" t="s">
        <v>6</v>
      </c>
      <c r="K25" s="16" t="s">
        <v>6</v>
      </c>
      <c r="L25" s="78"/>
    </row>
    <row r="26" spans="1:16" ht="38.25" x14ac:dyDescent="0.25">
      <c r="B26" s="4" t="s">
        <v>16</v>
      </c>
      <c r="C26" s="15" t="s">
        <v>97</v>
      </c>
      <c r="D26" s="79" t="s">
        <v>32</v>
      </c>
      <c r="E26" s="13">
        <v>310.88</v>
      </c>
      <c r="F26" s="13">
        <f>99597.43*0.97+((18084.21*0.97)*0.23)</f>
        <v>100644.09435099999</v>
      </c>
      <c r="G26" s="13">
        <v>0</v>
      </c>
      <c r="H26" s="110">
        <f>F26+G26</f>
        <v>100644.09435099999</v>
      </c>
      <c r="I26" s="101">
        <f>IFERROR(H26/E26,0)</f>
        <v>323.73936680069477</v>
      </c>
      <c r="J26" s="101">
        <f>F26*$L$18</f>
        <v>50322.047175499996</v>
      </c>
      <c r="K26" s="101">
        <f>F26*$L$19</f>
        <v>15096.614152649998</v>
      </c>
      <c r="L26" s="111"/>
    </row>
    <row r="27" spans="1:16" ht="45" x14ac:dyDescent="0.25">
      <c r="B27" s="4" t="s">
        <v>17</v>
      </c>
      <c r="C27" s="3" t="s">
        <v>99</v>
      </c>
      <c r="D27" s="81" t="s">
        <v>33</v>
      </c>
      <c r="E27" s="2">
        <f>76.68+44.2</f>
        <v>120.88000000000001</v>
      </c>
      <c r="F27" s="112"/>
      <c r="G27" s="2">
        <f>(12573.1/1.2+17071.93)*0.62</f>
        <v>17080.69826666667</v>
      </c>
      <c r="H27" s="113">
        <f>G27</f>
        <v>17080.69826666667</v>
      </c>
      <c r="I27" s="114">
        <f>IFERROR(H27/E27,0)</f>
        <v>141.30293073020076</v>
      </c>
      <c r="J27" s="115"/>
      <c r="K27" s="82"/>
      <c r="L27" s="111"/>
    </row>
    <row r="28" spans="1:16" ht="30" x14ac:dyDescent="0.25">
      <c r="B28" s="4" t="s">
        <v>18</v>
      </c>
      <c r="C28" s="3" t="s">
        <v>98</v>
      </c>
      <c r="D28" s="81" t="s">
        <v>14</v>
      </c>
      <c r="E28" s="2">
        <v>1032.49</v>
      </c>
      <c r="F28" s="13">
        <f>91159.66*0.97+((18084.21*0.97)*0.77)</f>
        <v>101931.96664900001</v>
      </c>
      <c r="G28" s="2">
        <v>0</v>
      </c>
      <c r="H28" s="110">
        <f>F28+G28</f>
        <v>101931.96664900001</v>
      </c>
      <c r="I28" s="114">
        <f>IFERROR(H28/E28,0)</f>
        <v>98.724410550223254</v>
      </c>
      <c r="J28" s="101">
        <f>F28*$L$18</f>
        <v>50965.983324500005</v>
      </c>
      <c r="K28" s="101">
        <f>F28*$L$19</f>
        <v>15289.79499735</v>
      </c>
      <c r="L28" s="111"/>
    </row>
    <row r="29" spans="1:16" ht="45" x14ac:dyDescent="0.25">
      <c r="B29" s="4" t="s">
        <v>70</v>
      </c>
      <c r="C29" s="3" t="s">
        <v>100</v>
      </c>
      <c r="D29" s="81" t="s">
        <v>14</v>
      </c>
      <c r="E29" s="2">
        <f>11.29+64.09</f>
        <v>75.38</v>
      </c>
      <c r="F29" s="112"/>
      <c r="G29" s="2">
        <f>(12573.1/1.2+17071.93)*0.38</f>
        <v>10468.815066666668</v>
      </c>
      <c r="H29" s="113">
        <f>G29</f>
        <v>10468.815066666668</v>
      </c>
      <c r="I29" s="114">
        <f>IFERROR(H29/E29,0)</f>
        <v>138.88053948881227</v>
      </c>
      <c r="J29" s="115"/>
      <c r="K29" s="82"/>
      <c r="L29" s="111"/>
    </row>
    <row r="30" spans="1:16" ht="15.75" thickBot="1" x14ac:dyDescent="0.3">
      <c r="B30" s="4"/>
      <c r="C30" s="83" t="s">
        <v>77</v>
      </c>
      <c r="D30" s="84"/>
      <c r="E30" s="116">
        <f>SUM(E26:E29)</f>
        <v>1539.63</v>
      </c>
      <c r="F30" s="116">
        <f>SUM(F26:F29)</f>
        <v>202576.06099999999</v>
      </c>
      <c r="G30" s="116">
        <f t="shared" ref="G30:H30" si="0">SUM(G26:G29)</f>
        <v>27549.513333333336</v>
      </c>
      <c r="H30" s="116">
        <f t="shared" si="0"/>
        <v>230125.57433333332</v>
      </c>
      <c r="I30" s="117">
        <f>IFERROR(H30/E30,0)</f>
        <v>149.46810229297515</v>
      </c>
      <c r="J30" s="116">
        <f>SUM(J26:J29)</f>
        <v>101288.03049999999</v>
      </c>
      <c r="K30" s="116">
        <f>SUM(K26:K29)</f>
        <v>30386.409149999999</v>
      </c>
      <c r="L30" s="118"/>
      <c r="P30" s="119"/>
    </row>
    <row r="31" spans="1:16" ht="16.5" thickTop="1" thickBot="1" x14ac:dyDescent="0.3">
      <c r="B31" s="102"/>
      <c r="C31" s="120"/>
      <c r="D31" s="121"/>
      <c r="E31" s="121"/>
      <c r="F31" s="121"/>
      <c r="G31" s="121"/>
      <c r="H31" s="121"/>
      <c r="I31" s="122"/>
      <c r="J31" s="122"/>
      <c r="K31" s="121"/>
      <c r="L31" s="5"/>
    </row>
    <row r="32" spans="1:16" x14ac:dyDescent="0.25">
      <c r="B32" s="123"/>
      <c r="C32" s="124"/>
      <c r="D32" s="125"/>
      <c r="E32" s="126"/>
      <c r="F32" s="126"/>
      <c r="G32" s="126"/>
      <c r="H32" s="283" t="s">
        <v>11</v>
      </c>
      <c r="I32" s="283"/>
      <c r="J32" s="127"/>
      <c r="K32" s="126"/>
      <c r="L32" s="128"/>
    </row>
    <row r="33" spans="2:16" ht="38.25" x14ac:dyDescent="0.25">
      <c r="B33" s="129"/>
      <c r="C33" s="74" t="s">
        <v>23</v>
      </c>
      <c r="D33" s="93"/>
      <c r="E33" s="94" t="s">
        <v>4</v>
      </c>
      <c r="F33" s="94" t="s">
        <v>8</v>
      </c>
      <c r="G33" s="94" t="s">
        <v>9</v>
      </c>
      <c r="H33" s="97" t="s">
        <v>13</v>
      </c>
      <c r="I33" s="97" t="s">
        <v>10</v>
      </c>
      <c r="J33" s="94" t="s">
        <v>113</v>
      </c>
      <c r="K33" s="94" t="s">
        <v>114</v>
      </c>
      <c r="L33" s="73" t="s">
        <v>3</v>
      </c>
    </row>
    <row r="34" spans="2:16" x14ac:dyDescent="0.25">
      <c r="B34" s="75" t="s">
        <v>15</v>
      </c>
      <c r="C34" s="98"/>
      <c r="D34" s="99"/>
      <c r="E34" s="16" t="s">
        <v>5</v>
      </c>
      <c r="F34" s="16" t="s">
        <v>6</v>
      </c>
      <c r="G34" s="16" t="s">
        <v>6</v>
      </c>
      <c r="H34" s="100" t="s">
        <v>6</v>
      </c>
      <c r="I34" s="100" t="s">
        <v>7</v>
      </c>
      <c r="J34" s="16" t="s">
        <v>6</v>
      </c>
      <c r="K34" s="16" t="s">
        <v>6</v>
      </c>
      <c r="L34" s="78"/>
    </row>
    <row r="35" spans="2:16" ht="76.5" x14ac:dyDescent="0.25">
      <c r="B35" s="4" t="s">
        <v>19</v>
      </c>
      <c r="C35" s="15" t="s">
        <v>103</v>
      </c>
      <c r="D35" s="79" t="s">
        <v>117</v>
      </c>
      <c r="E35" s="13">
        <f>E26+E28</f>
        <v>1343.37</v>
      </c>
      <c r="F35" s="13">
        <f>3762.05*0.87</f>
        <v>3272.9835000000003</v>
      </c>
      <c r="G35" s="13">
        <v>0</v>
      </c>
      <c r="H35" s="110">
        <f>F35+G35</f>
        <v>3272.9835000000003</v>
      </c>
      <c r="I35" s="101">
        <f>IFERROR(H35/E35,0)</f>
        <v>2.4363976417517144</v>
      </c>
      <c r="J35" s="101">
        <f>F35*$L$18</f>
        <v>1636.4917500000001</v>
      </c>
      <c r="K35" s="101">
        <f>F35*$L$19</f>
        <v>490.94752500000004</v>
      </c>
      <c r="L35" s="111"/>
    </row>
    <row r="36" spans="2:16" ht="76.5" x14ac:dyDescent="0.25">
      <c r="B36" s="4" t="s">
        <v>20</v>
      </c>
      <c r="C36" s="3" t="s">
        <v>228</v>
      </c>
      <c r="D36" s="81" t="s">
        <v>118</v>
      </c>
      <c r="E36" s="2">
        <f>E27+E29</f>
        <v>196.26</v>
      </c>
      <c r="F36" s="112"/>
      <c r="G36" s="2">
        <f>3762.05*0.13</f>
        <v>489.06650000000002</v>
      </c>
      <c r="H36" s="113">
        <f>G36</f>
        <v>489.06650000000002</v>
      </c>
      <c r="I36" s="114">
        <f>IFERROR(H36/E36,0)</f>
        <v>2.4919316213186593</v>
      </c>
      <c r="J36" s="115"/>
      <c r="K36" s="82"/>
      <c r="L36" s="111"/>
    </row>
    <row r="37" spans="2:16" ht="15.75" thickBot="1" x14ac:dyDescent="0.3">
      <c r="B37" s="4"/>
      <c r="C37" s="83" t="s">
        <v>78</v>
      </c>
      <c r="D37" s="84"/>
      <c r="E37" s="116">
        <f>SUM(E35:E36)</f>
        <v>1539.6299999999999</v>
      </c>
      <c r="F37" s="116">
        <f t="shared" ref="F37:G37" si="1">SUM(F35:F36)</f>
        <v>3272.9835000000003</v>
      </c>
      <c r="G37" s="116">
        <f t="shared" si="1"/>
        <v>489.06650000000002</v>
      </c>
      <c r="H37" s="116">
        <f>SUM(H35:H36)</f>
        <v>3762.05</v>
      </c>
      <c r="I37" s="117">
        <f>IFERROR(H37/E37,0)</f>
        <v>2.4434766794619489</v>
      </c>
      <c r="J37" s="116">
        <f>SUM(J35:J36)</f>
        <v>1636.4917500000001</v>
      </c>
      <c r="K37" s="116">
        <f>SUM(K35:K36)</f>
        <v>490.94752500000004</v>
      </c>
      <c r="L37" s="118"/>
      <c r="P37" s="119"/>
    </row>
    <row r="38" spans="2:16" ht="15.75" thickTop="1" x14ac:dyDescent="0.25">
      <c r="B38" s="4"/>
      <c r="C38" s="130"/>
      <c r="D38" s="131"/>
      <c r="E38" s="131"/>
      <c r="F38" s="131"/>
      <c r="G38" s="131"/>
      <c r="H38" s="131"/>
      <c r="I38" s="131"/>
      <c r="J38" s="131"/>
      <c r="K38" s="131"/>
      <c r="L38" s="132"/>
    </row>
    <row r="39" spans="2:16" ht="15.75" x14ac:dyDescent="0.25">
      <c r="B39" s="4"/>
      <c r="C39" s="133" t="s">
        <v>28</v>
      </c>
      <c r="D39" s="93"/>
      <c r="E39" s="93"/>
      <c r="F39" s="93"/>
      <c r="G39" s="93"/>
      <c r="H39" s="93"/>
      <c r="I39" s="93"/>
      <c r="J39" s="93"/>
      <c r="K39" s="93"/>
      <c r="L39" s="134"/>
    </row>
    <row r="40" spans="2:16" ht="25.5" x14ac:dyDescent="0.25">
      <c r="B40" s="4"/>
      <c r="C40" s="135" t="s">
        <v>24</v>
      </c>
      <c r="D40" s="136"/>
      <c r="E40" s="136"/>
      <c r="F40" s="136"/>
      <c r="G40" s="136"/>
      <c r="H40" s="136"/>
      <c r="I40" s="136"/>
      <c r="J40" s="136"/>
      <c r="K40" s="136"/>
      <c r="L40" s="137">
        <f>IFERROR(E37/$E$30,"keine Daten")</f>
        <v>0.99999999999999989</v>
      </c>
    </row>
    <row r="41" spans="2:16" ht="38.25" x14ac:dyDescent="0.25">
      <c r="B41" s="4" t="s">
        <v>21</v>
      </c>
      <c r="C41" s="3" t="s">
        <v>127</v>
      </c>
      <c r="D41" s="81" t="s">
        <v>30</v>
      </c>
      <c r="E41" s="13">
        <f>E35+E36</f>
        <v>1539.6299999999999</v>
      </c>
      <c r="F41" s="82"/>
      <c r="G41" s="82"/>
      <c r="H41" s="82"/>
      <c r="I41" s="82"/>
      <c r="J41" s="82"/>
      <c r="K41" s="82"/>
      <c r="L41" s="137">
        <f>IFERROR(E41/$E$30,"keine Daten")</f>
        <v>0.99999999999999989</v>
      </c>
    </row>
    <row r="42" spans="2:16" ht="60" x14ac:dyDescent="0.25">
      <c r="B42" s="4" t="s">
        <v>22</v>
      </c>
      <c r="C42" s="3" t="s">
        <v>128</v>
      </c>
      <c r="D42" s="81" t="s">
        <v>31</v>
      </c>
      <c r="E42" s="13">
        <v>0</v>
      </c>
      <c r="F42" s="82"/>
      <c r="G42" s="82"/>
      <c r="H42" s="82"/>
      <c r="I42" s="82"/>
      <c r="J42" s="82"/>
      <c r="K42" s="82"/>
      <c r="L42" s="137">
        <f>IFERROR(E42/$E$30,"keine Daten")</f>
        <v>0</v>
      </c>
    </row>
    <row r="43" spans="2:16" ht="25.5" x14ac:dyDescent="0.25">
      <c r="B43" s="4"/>
      <c r="C43" s="138" t="s">
        <v>27</v>
      </c>
      <c r="D43" s="84"/>
      <c r="E43" s="84"/>
      <c r="F43" s="84"/>
      <c r="G43" s="84"/>
      <c r="H43" s="84"/>
      <c r="I43" s="84"/>
      <c r="J43" s="84"/>
      <c r="K43" s="84"/>
      <c r="L43" s="139">
        <f>IFERROR(L40-L41-L42,"keine Daten")</f>
        <v>0</v>
      </c>
    </row>
    <row r="44" spans="2:16" ht="15.75" thickBot="1" x14ac:dyDescent="0.3">
      <c r="B44" s="17"/>
      <c r="C44" s="10"/>
      <c r="D44" s="10"/>
      <c r="E44" s="10"/>
      <c r="F44" s="10"/>
      <c r="G44" s="10"/>
      <c r="H44" s="10"/>
      <c r="I44" s="10"/>
      <c r="J44" s="10"/>
      <c r="K44" s="10"/>
      <c r="L44" s="5"/>
    </row>
    <row r="45" spans="2:16" ht="15.75" thickBot="1" x14ac:dyDescent="0.3"/>
    <row r="46" spans="2:16" ht="15.75" thickBot="1" x14ac:dyDescent="0.3">
      <c r="B46" s="6" t="s">
        <v>12</v>
      </c>
      <c r="C46" s="140"/>
      <c r="D46" s="107"/>
      <c r="E46" s="107"/>
      <c r="F46" s="107"/>
      <c r="G46" s="107"/>
      <c r="H46" s="107"/>
      <c r="I46" s="141"/>
      <c r="J46" s="141"/>
      <c r="K46" s="107"/>
      <c r="L46" s="69"/>
    </row>
    <row r="47" spans="2:16" x14ac:dyDescent="0.25">
      <c r="B47" s="142"/>
      <c r="C47" s="143"/>
      <c r="D47" s="125"/>
      <c r="E47" s="126"/>
      <c r="F47" s="126"/>
      <c r="G47" s="126"/>
      <c r="H47" s="283" t="s">
        <v>11</v>
      </c>
      <c r="I47" s="283"/>
      <c r="J47" s="127"/>
      <c r="K47" s="126"/>
      <c r="L47" s="128"/>
    </row>
    <row r="48" spans="2:16" ht="38.25" x14ac:dyDescent="0.25">
      <c r="B48" s="129"/>
      <c r="C48" s="74" t="s">
        <v>29</v>
      </c>
      <c r="D48" s="93"/>
      <c r="E48" s="94" t="s">
        <v>4</v>
      </c>
      <c r="F48" s="94" t="s">
        <v>8</v>
      </c>
      <c r="G48" s="94" t="s">
        <v>9</v>
      </c>
      <c r="H48" s="97" t="s">
        <v>13</v>
      </c>
      <c r="I48" s="97" t="s">
        <v>10</v>
      </c>
      <c r="J48" s="94" t="s">
        <v>113</v>
      </c>
      <c r="K48" s="94" t="s">
        <v>114</v>
      </c>
      <c r="L48" s="73" t="s">
        <v>3</v>
      </c>
    </row>
    <row r="49" spans="2:16" x14ac:dyDescent="0.25">
      <c r="B49" s="75" t="s">
        <v>15</v>
      </c>
      <c r="C49" s="98"/>
      <c r="D49" s="99"/>
      <c r="E49" s="16" t="s">
        <v>5</v>
      </c>
      <c r="F49" s="16" t="s">
        <v>6</v>
      </c>
      <c r="G49" s="16" t="s">
        <v>6</v>
      </c>
      <c r="H49" s="100" t="s">
        <v>6</v>
      </c>
      <c r="I49" s="100" t="s">
        <v>7</v>
      </c>
      <c r="J49" s="16" t="s">
        <v>6</v>
      </c>
      <c r="K49" s="16" t="s">
        <v>6</v>
      </c>
      <c r="L49" s="78"/>
    </row>
    <row r="50" spans="2:16" ht="89.25" x14ac:dyDescent="0.25">
      <c r="B50" s="4" t="s">
        <v>25</v>
      </c>
      <c r="C50" s="15" t="s">
        <v>105</v>
      </c>
      <c r="D50" s="79" t="s">
        <v>235</v>
      </c>
      <c r="E50" s="13">
        <f>(E26+E28)*(12+1+7)</f>
        <v>26867.399999999998</v>
      </c>
      <c r="F50" s="13">
        <f>(27146.69-3762.05+11100.41)*0.87</f>
        <v>30001.993500000004</v>
      </c>
      <c r="G50" s="13">
        <v>0</v>
      </c>
      <c r="H50" s="110">
        <f>F50+G50</f>
        <v>30001.993500000004</v>
      </c>
      <c r="I50" s="101">
        <f>IFERROR(H50/E50,0)</f>
        <v>1.1166690301257287</v>
      </c>
      <c r="J50" s="101">
        <f>F50*$L$18</f>
        <v>15000.996750000002</v>
      </c>
      <c r="K50" s="101">
        <f>F50*$L$19</f>
        <v>4500.2990250000003</v>
      </c>
      <c r="L50" s="111"/>
    </row>
    <row r="51" spans="2:16" ht="89.25" x14ac:dyDescent="0.25">
      <c r="B51" s="4" t="s">
        <v>26</v>
      </c>
      <c r="C51" s="3" t="s">
        <v>229</v>
      </c>
      <c r="D51" s="81" t="s">
        <v>236</v>
      </c>
      <c r="E51" s="2">
        <f>(E27+E29)*(12+1+7)</f>
        <v>3925.2</v>
      </c>
      <c r="F51" s="112"/>
      <c r="G51" s="2">
        <f>(27146.69-3762.05+11100.41)*0.13</f>
        <v>4483.0565000000006</v>
      </c>
      <c r="H51" s="113">
        <f>G51</f>
        <v>4483.0565000000006</v>
      </c>
      <c r="I51" s="114">
        <f>IFERROR(H51/E51,0)</f>
        <v>1.1421218027106901</v>
      </c>
      <c r="J51" s="115"/>
      <c r="K51" s="82"/>
      <c r="L51" s="111"/>
    </row>
    <row r="52" spans="2:16" ht="15.75" thickBot="1" x14ac:dyDescent="0.3">
      <c r="B52" s="144"/>
      <c r="C52" s="83" t="s">
        <v>79</v>
      </c>
      <c r="D52" s="84"/>
      <c r="E52" s="116">
        <f>SUM(E50:E51)</f>
        <v>30792.6</v>
      </c>
      <c r="F52" s="116">
        <f t="shared" ref="F52:G52" si="2">SUM(F50:F51)</f>
        <v>30001.993500000004</v>
      </c>
      <c r="G52" s="116">
        <f t="shared" si="2"/>
        <v>4483.0565000000006</v>
      </c>
      <c r="H52" s="116">
        <f>SUM(H50:H51)</f>
        <v>34485.050000000003</v>
      </c>
      <c r="I52" s="117">
        <f>IFERROR(H52/E52,0)</f>
        <v>1.1199135506582751</v>
      </c>
      <c r="J52" s="116">
        <f>SUM(J50:J51)</f>
        <v>15000.996750000002</v>
      </c>
      <c r="K52" s="116">
        <f>SUM(K50:K51)</f>
        <v>4500.2990250000003</v>
      </c>
      <c r="L52" s="118"/>
      <c r="P52" s="119"/>
    </row>
    <row r="53" spans="2:16" ht="15.75" thickTop="1" x14ac:dyDescent="0.25">
      <c r="B53" s="144"/>
      <c r="C53" s="145"/>
      <c r="D53" s="131"/>
      <c r="E53" s="131"/>
      <c r="F53" s="131"/>
      <c r="G53" s="131"/>
      <c r="H53" s="131"/>
      <c r="I53" s="131"/>
      <c r="J53" s="131"/>
      <c r="K53" s="131"/>
      <c r="L53" s="86"/>
    </row>
    <row r="54" spans="2:16" ht="15.75" x14ac:dyDescent="0.25">
      <c r="B54" s="4"/>
      <c r="C54" s="74" t="s">
        <v>34</v>
      </c>
      <c r="D54" s="93"/>
      <c r="E54" s="93"/>
      <c r="F54" s="93"/>
      <c r="G54" s="93"/>
      <c r="H54" s="93"/>
      <c r="I54" s="93"/>
      <c r="J54" s="93"/>
      <c r="K54" s="93"/>
      <c r="L54" s="134"/>
    </row>
    <row r="55" spans="2:16" ht="25.5" x14ac:dyDescent="0.25">
      <c r="B55" s="4"/>
      <c r="C55" s="135" t="s">
        <v>39</v>
      </c>
      <c r="D55" s="136"/>
      <c r="E55" s="136"/>
      <c r="F55" s="136"/>
      <c r="G55" s="136"/>
      <c r="H55" s="136"/>
      <c r="I55" s="136"/>
      <c r="J55" s="136"/>
      <c r="K55" s="136"/>
      <c r="L55" s="137">
        <f>IFERROR(E52/$E$30,"keine Daten")</f>
        <v>19.999999999999996</v>
      </c>
    </row>
    <row r="56" spans="2:16" ht="25.5" x14ac:dyDescent="0.25">
      <c r="B56" s="4" t="s">
        <v>35</v>
      </c>
      <c r="C56" s="3" t="s">
        <v>93</v>
      </c>
      <c r="D56" s="81" t="s">
        <v>38</v>
      </c>
      <c r="E56" s="13">
        <f>1540*(10+1+5)</f>
        <v>24640</v>
      </c>
      <c r="F56" s="82"/>
      <c r="G56" s="82"/>
      <c r="H56" s="82"/>
      <c r="I56" s="82"/>
      <c r="J56" s="82"/>
      <c r="K56" s="82"/>
      <c r="L56" s="137">
        <f>IFERROR(E56/$E$30,"keine Daten")</f>
        <v>16.003845079661996</v>
      </c>
    </row>
    <row r="57" spans="2:16" ht="45" x14ac:dyDescent="0.25">
      <c r="B57" s="4" t="s">
        <v>36</v>
      </c>
      <c r="C57" s="3" t="s">
        <v>92</v>
      </c>
      <c r="D57" s="81" t="s">
        <v>37</v>
      </c>
      <c r="E57" s="13">
        <f>1540*(2+0+2)</f>
        <v>6160</v>
      </c>
      <c r="F57" s="82"/>
      <c r="G57" s="82"/>
      <c r="H57" s="82"/>
      <c r="I57" s="82"/>
      <c r="J57" s="82"/>
      <c r="K57" s="82"/>
      <c r="L57" s="137">
        <f>IFERROR(E57/$E$30,"keine Daten")</f>
        <v>4.0009612699154991</v>
      </c>
    </row>
    <row r="58" spans="2:16" ht="25.5" x14ac:dyDescent="0.25">
      <c r="B58" s="4"/>
      <c r="C58" s="138" t="s">
        <v>40</v>
      </c>
      <c r="D58" s="84"/>
      <c r="E58" s="84"/>
      <c r="F58" s="84"/>
      <c r="G58" s="84"/>
      <c r="H58" s="84"/>
      <c r="I58" s="84"/>
      <c r="J58" s="84"/>
      <c r="K58" s="84"/>
      <c r="L58" s="139">
        <f>IFERROR(L55-L56-L57,"keine Daten")</f>
        <v>-4.8063495774988141E-3</v>
      </c>
    </row>
    <row r="59" spans="2:16" ht="15.75" thickBot="1" x14ac:dyDescent="0.3">
      <c r="B59" s="146"/>
      <c r="C59" s="120"/>
      <c r="D59" s="121"/>
      <c r="E59" s="121"/>
      <c r="F59" s="121"/>
      <c r="G59" s="121"/>
      <c r="H59" s="121"/>
      <c r="I59" s="121"/>
      <c r="J59" s="121"/>
      <c r="K59" s="121"/>
      <c r="L59" s="106"/>
    </row>
    <row r="60" spans="2:16" x14ac:dyDescent="0.25">
      <c r="B60" s="147"/>
      <c r="C60" s="143"/>
      <c r="D60" s="125"/>
      <c r="E60" s="126"/>
      <c r="F60" s="126"/>
      <c r="G60" s="126"/>
      <c r="H60" s="283" t="s">
        <v>11</v>
      </c>
      <c r="I60" s="283"/>
      <c r="J60" s="127"/>
      <c r="K60" s="126"/>
      <c r="L60" s="128"/>
    </row>
    <row r="61" spans="2:16" ht="38.25" x14ac:dyDescent="0.25">
      <c r="B61" s="148"/>
      <c r="C61" s="74" t="s">
        <v>41</v>
      </c>
      <c r="D61" s="93"/>
      <c r="E61" s="94" t="s">
        <v>4</v>
      </c>
      <c r="F61" s="94" t="s">
        <v>8</v>
      </c>
      <c r="G61" s="94" t="s">
        <v>9</v>
      </c>
      <c r="H61" s="97" t="s">
        <v>13</v>
      </c>
      <c r="I61" s="97" t="s">
        <v>10</v>
      </c>
      <c r="J61" s="94" t="s">
        <v>113</v>
      </c>
      <c r="K61" s="94" t="s">
        <v>114</v>
      </c>
      <c r="L61" s="73" t="s">
        <v>3</v>
      </c>
    </row>
    <row r="62" spans="2:16" x14ac:dyDescent="0.25">
      <c r="B62" s="75" t="s">
        <v>15</v>
      </c>
      <c r="C62" s="98"/>
      <c r="D62" s="99"/>
      <c r="E62" s="16" t="s">
        <v>5</v>
      </c>
      <c r="F62" s="16" t="s">
        <v>6</v>
      </c>
      <c r="G62" s="16" t="s">
        <v>6</v>
      </c>
      <c r="H62" s="100" t="s">
        <v>6</v>
      </c>
      <c r="I62" s="100" t="s">
        <v>7</v>
      </c>
      <c r="J62" s="16" t="s">
        <v>6</v>
      </c>
      <c r="K62" s="16" t="s">
        <v>6</v>
      </c>
      <c r="L62" s="78"/>
    </row>
    <row r="63" spans="2:16" ht="89.25" x14ac:dyDescent="0.25">
      <c r="B63" s="4" t="s">
        <v>43</v>
      </c>
      <c r="C63" s="15" t="s">
        <v>107</v>
      </c>
      <c r="D63" s="79" t="s">
        <v>119</v>
      </c>
      <c r="E63" s="13">
        <f>(E26+E28)*288</f>
        <v>386890.55999999994</v>
      </c>
      <c r="F63" s="13">
        <f>(46400.69+11585.37)*0.87</f>
        <v>50447.872200000005</v>
      </c>
      <c r="G63" s="13">
        <v>0</v>
      </c>
      <c r="H63" s="110">
        <f>F63+G63</f>
        <v>50447.872200000005</v>
      </c>
      <c r="I63" s="101">
        <f>IFERROR(H63/E63,0)</f>
        <v>0.13039313287974774</v>
      </c>
      <c r="J63" s="101">
        <f>F63*$L$18</f>
        <v>25223.936100000003</v>
      </c>
      <c r="K63" s="101">
        <f>F63*$L$19</f>
        <v>7567.1808300000002</v>
      </c>
      <c r="L63" s="111"/>
    </row>
    <row r="64" spans="2:16" ht="89.25" x14ac:dyDescent="0.25">
      <c r="B64" s="4" t="s">
        <v>44</v>
      </c>
      <c r="C64" s="3" t="s">
        <v>230</v>
      </c>
      <c r="D64" s="81" t="s">
        <v>120</v>
      </c>
      <c r="E64" s="2">
        <f>(E27+E29)*288</f>
        <v>56522.879999999997</v>
      </c>
      <c r="F64" s="112"/>
      <c r="G64" s="2">
        <f>(46400.69+11585.37)*0.13</f>
        <v>7538.1878000000006</v>
      </c>
      <c r="H64" s="113">
        <f>G64</f>
        <v>7538.1878000000006</v>
      </c>
      <c r="I64" s="114">
        <f>IFERROR(H64/E64,0)</f>
        <v>0.13336524607380235</v>
      </c>
      <c r="J64" s="115"/>
      <c r="K64" s="82"/>
      <c r="L64" s="111"/>
    </row>
    <row r="65" spans="2:16" ht="15.75" thickBot="1" x14ac:dyDescent="0.3">
      <c r="B65" s="4"/>
      <c r="C65" s="83" t="s">
        <v>80</v>
      </c>
      <c r="D65" s="84"/>
      <c r="E65" s="116">
        <f>SUM(E63:E64)</f>
        <v>443413.43999999994</v>
      </c>
      <c r="F65" s="116">
        <f t="shared" ref="F65:G65" si="3">SUM(F63:F64)</f>
        <v>50447.872200000005</v>
      </c>
      <c r="G65" s="116">
        <f t="shared" si="3"/>
        <v>7538.1878000000006</v>
      </c>
      <c r="H65" s="116">
        <f>SUM(H63:H64)</f>
        <v>57986.060000000005</v>
      </c>
      <c r="I65" s="117">
        <f>IFERROR(H65/E65,0)</f>
        <v>0.13077199464229142</v>
      </c>
      <c r="J65" s="116">
        <f>SUM(J63:J64)</f>
        <v>25223.936100000003</v>
      </c>
      <c r="K65" s="116">
        <f>SUM(K63:K64)</f>
        <v>7567.1808300000002</v>
      </c>
      <c r="L65" s="118"/>
      <c r="P65" s="119"/>
    </row>
    <row r="66" spans="2:16" ht="15.75" thickTop="1" x14ac:dyDescent="0.25">
      <c r="B66" s="144"/>
      <c r="C66" s="145"/>
      <c r="D66" s="131"/>
      <c r="E66" s="131"/>
      <c r="F66" s="131"/>
      <c r="G66" s="131"/>
      <c r="H66" s="131"/>
      <c r="I66" s="131"/>
      <c r="J66" s="131"/>
      <c r="K66" s="131"/>
      <c r="L66" s="86"/>
    </row>
    <row r="67" spans="2:16" ht="15.75" x14ac:dyDescent="0.25">
      <c r="B67" s="4"/>
      <c r="C67" s="74" t="s">
        <v>45</v>
      </c>
      <c r="D67" s="93"/>
      <c r="E67" s="93"/>
      <c r="F67" s="93"/>
      <c r="G67" s="93"/>
      <c r="H67" s="93"/>
      <c r="I67" s="93"/>
      <c r="J67" s="93"/>
      <c r="K67" s="93"/>
      <c r="L67" s="134"/>
    </row>
    <row r="68" spans="2:16" ht="25.5" x14ac:dyDescent="0.25">
      <c r="B68" s="4"/>
      <c r="C68" s="135" t="s">
        <v>46</v>
      </c>
      <c r="D68" s="136"/>
      <c r="E68" s="136"/>
      <c r="F68" s="136"/>
      <c r="G68" s="136"/>
      <c r="H68" s="136"/>
      <c r="I68" s="136"/>
      <c r="J68" s="136"/>
      <c r="K68" s="136"/>
      <c r="L68" s="137">
        <f>IFERROR(E65/$E$30,"keine Daten")</f>
        <v>287.99999999999994</v>
      </c>
    </row>
    <row r="69" spans="2:16" x14ac:dyDescent="0.25">
      <c r="B69" s="4" t="s">
        <v>55</v>
      </c>
      <c r="C69" s="1" t="s">
        <v>94</v>
      </c>
      <c r="D69" s="81"/>
      <c r="E69" s="13">
        <f>1540*232</f>
        <v>357280</v>
      </c>
      <c r="F69" s="82"/>
      <c r="G69" s="82"/>
      <c r="H69" s="82"/>
      <c r="I69" s="82"/>
      <c r="J69" s="82"/>
      <c r="K69" s="82"/>
      <c r="L69" s="137">
        <f>IFERROR(E69/$E$30,"keine Daten")</f>
        <v>232.05575365509893</v>
      </c>
    </row>
    <row r="70" spans="2:16" ht="45" x14ac:dyDescent="0.25">
      <c r="B70" s="4" t="s">
        <v>56</v>
      </c>
      <c r="C70" s="1" t="s">
        <v>91</v>
      </c>
      <c r="D70" s="81"/>
      <c r="E70" s="13">
        <f>1540*56</f>
        <v>86240</v>
      </c>
      <c r="F70" s="82"/>
      <c r="G70" s="82"/>
      <c r="H70" s="82"/>
      <c r="I70" s="82"/>
      <c r="J70" s="82"/>
      <c r="K70" s="82"/>
      <c r="L70" s="137">
        <f>IFERROR(E70/$E$30,"keine Daten")</f>
        <v>56.013457778816985</v>
      </c>
    </row>
    <row r="71" spans="2:16" ht="25.5" x14ac:dyDescent="0.25">
      <c r="B71" s="4"/>
      <c r="C71" s="138" t="s">
        <v>47</v>
      </c>
      <c r="D71" s="84"/>
      <c r="E71" s="84"/>
      <c r="F71" s="84"/>
      <c r="G71" s="84"/>
      <c r="H71" s="84"/>
      <c r="I71" s="84"/>
      <c r="J71" s="84"/>
      <c r="K71" s="84"/>
      <c r="L71" s="139">
        <f>IFERROR(L68-L69-L70,"keine Daten")</f>
        <v>-6.9211433915967291E-2</v>
      </c>
    </row>
    <row r="72" spans="2:16" ht="15.75" thickBot="1" x14ac:dyDescent="0.3">
      <c r="B72" s="146"/>
      <c r="C72" s="120"/>
      <c r="D72" s="121"/>
      <c r="E72" s="121"/>
      <c r="F72" s="121"/>
      <c r="G72" s="121"/>
      <c r="H72" s="121"/>
      <c r="I72" s="121"/>
      <c r="J72" s="121"/>
      <c r="K72" s="121"/>
      <c r="L72" s="106"/>
    </row>
    <row r="73" spans="2:16" ht="15.75" thickBot="1" x14ac:dyDescent="0.3">
      <c r="B73" s="27"/>
      <c r="C73" s="145"/>
      <c r="D73" s="131"/>
      <c r="E73" s="131"/>
      <c r="F73" s="131"/>
      <c r="G73" s="131"/>
      <c r="H73" s="131"/>
      <c r="I73" s="131"/>
      <c r="J73" s="131"/>
      <c r="K73" s="131"/>
      <c r="L73" s="66"/>
    </row>
    <row r="74" spans="2:16" ht="15.75" thickBot="1" x14ac:dyDescent="0.3">
      <c r="B74" s="6" t="s">
        <v>54</v>
      </c>
      <c r="C74" s="140"/>
      <c r="D74" s="107"/>
      <c r="E74" s="107"/>
      <c r="F74" s="107"/>
      <c r="G74" s="107"/>
      <c r="H74" s="107"/>
      <c r="I74" s="141"/>
      <c r="J74" s="141"/>
      <c r="K74" s="107"/>
      <c r="L74" s="69"/>
    </row>
    <row r="75" spans="2:16" x14ac:dyDescent="0.25">
      <c r="B75" s="148"/>
      <c r="C75" s="149"/>
      <c r="D75" s="93"/>
      <c r="E75" s="72"/>
      <c r="F75" s="72"/>
      <c r="G75" s="72"/>
      <c r="H75" s="282" t="s">
        <v>11</v>
      </c>
      <c r="I75" s="282"/>
      <c r="J75" s="108"/>
      <c r="K75" s="72"/>
      <c r="L75" s="95"/>
    </row>
    <row r="76" spans="2:16" ht="38.25" x14ac:dyDescent="0.25">
      <c r="B76" s="148"/>
      <c r="C76" s="74"/>
      <c r="D76" s="93"/>
      <c r="E76" s="94" t="s">
        <v>4</v>
      </c>
      <c r="F76" s="94" t="s">
        <v>8</v>
      </c>
      <c r="G76" s="94" t="s">
        <v>9</v>
      </c>
      <c r="H76" s="97" t="s">
        <v>13</v>
      </c>
      <c r="I76" s="97"/>
      <c r="J76" s="94" t="s">
        <v>113</v>
      </c>
      <c r="K76" s="94" t="s">
        <v>114</v>
      </c>
      <c r="L76" s="73" t="s">
        <v>3</v>
      </c>
    </row>
    <row r="77" spans="2:16" x14ac:dyDescent="0.25">
      <c r="B77" s="75" t="s">
        <v>15</v>
      </c>
      <c r="C77" s="98"/>
      <c r="D77" s="99"/>
      <c r="E77" s="16" t="s">
        <v>5</v>
      </c>
      <c r="F77" s="16" t="s">
        <v>6</v>
      </c>
      <c r="G77" s="16" t="s">
        <v>6</v>
      </c>
      <c r="H77" s="100" t="s">
        <v>6</v>
      </c>
      <c r="I77" s="100"/>
      <c r="J77" s="16" t="s">
        <v>6</v>
      </c>
      <c r="K77" s="16" t="s">
        <v>6</v>
      </c>
      <c r="L77" s="78"/>
    </row>
    <row r="78" spans="2:16" ht="30" x14ac:dyDescent="0.25">
      <c r="B78" s="4" t="s">
        <v>57</v>
      </c>
      <c r="C78" s="15" t="s">
        <v>59</v>
      </c>
      <c r="D78" s="79" t="s">
        <v>61</v>
      </c>
      <c r="E78" s="150"/>
      <c r="F78" s="150"/>
      <c r="G78" s="13">
        <f>27*92.18</f>
        <v>2488.86</v>
      </c>
      <c r="H78" s="110">
        <f>F78+G78</f>
        <v>2488.86</v>
      </c>
      <c r="I78" s="101"/>
      <c r="J78" s="150"/>
      <c r="K78" s="150"/>
      <c r="L78" s="111"/>
    </row>
    <row r="79" spans="2:16" ht="45" x14ac:dyDescent="0.25">
      <c r="B79" s="4" t="s">
        <v>58</v>
      </c>
      <c r="C79" s="3" t="s">
        <v>231</v>
      </c>
      <c r="D79" s="81" t="s">
        <v>61</v>
      </c>
      <c r="E79" s="150"/>
      <c r="F79" s="150"/>
      <c r="G79" s="2">
        <f>14*92.18</f>
        <v>1290.52</v>
      </c>
      <c r="H79" s="113">
        <f>G79</f>
        <v>1290.52</v>
      </c>
      <c r="I79" s="114"/>
      <c r="J79" s="150"/>
      <c r="K79" s="150"/>
      <c r="L79" s="111"/>
    </row>
    <row r="80" spans="2:16" ht="15.75" thickBot="1" x14ac:dyDescent="0.3">
      <c r="B80" s="144"/>
      <c r="C80" s="83" t="s">
        <v>42</v>
      </c>
      <c r="D80" s="84"/>
      <c r="E80" s="84"/>
      <c r="F80" s="84"/>
      <c r="G80" s="116">
        <f t="shared" ref="G80" si="4">SUM(G78:G79)</f>
        <v>3779.38</v>
      </c>
      <c r="H80" s="116">
        <f>SUM(H78:H79)</f>
        <v>3779.38</v>
      </c>
      <c r="I80" s="117"/>
      <c r="J80" s="84"/>
      <c r="K80" s="84"/>
      <c r="L80" s="118"/>
      <c r="P80" s="119"/>
    </row>
    <row r="81" spans="2:12" ht="16.5" thickTop="1" thickBot="1" x14ac:dyDescent="0.3">
      <c r="B81" s="146"/>
      <c r="C81" s="120"/>
      <c r="D81" s="121"/>
      <c r="E81" s="121"/>
      <c r="F81" s="121"/>
      <c r="G81" s="121"/>
      <c r="H81" s="121"/>
      <c r="I81" s="121"/>
      <c r="J81" s="121"/>
      <c r="K81" s="121"/>
      <c r="L81" s="106"/>
    </row>
    <row r="82" spans="2:12" x14ac:dyDescent="0.25">
      <c r="B82" s="27"/>
      <c r="C82" s="145"/>
      <c r="D82" s="131"/>
      <c r="E82" s="131"/>
      <c r="F82" s="131"/>
      <c r="G82" s="131"/>
      <c r="H82" s="131"/>
      <c r="I82" s="131"/>
      <c r="J82" s="131"/>
      <c r="K82" s="131"/>
      <c r="L82" s="66"/>
    </row>
  </sheetData>
  <sheetProtection algorithmName="SHA-512" hashValue="m3zP5eyM6+GJkTtQc0oWkrqtn+HfExMrNhSbdfHsLlTFXpMOX6s6J35TCNSGZZqRF+RbftJJSp/e96Z1F/if4g==" saltValue="H1FHkX/vL5qbuENPTVmnUg==" spinCount="100000" sheet="1" objects="1" scenarios="1"/>
  <mergeCells count="6">
    <mergeCell ref="H75:I75"/>
    <mergeCell ref="H15:I15"/>
    <mergeCell ref="H23:I23"/>
    <mergeCell ref="H32:I32"/>
    <mergeCell ref="H47:I47"/>
    <mergeCell ref="H60:I60"/>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0811-FDEA-469B-9639-80AA0B98B67B}">
  <dimension ref="A2:S49"/>
  <sheetViews>
    <sheetView showGridLines="0" zoomScale="90" zoomScaleNormal="90" workbookViewId="0">
      <selection activeCell="D27" sqref="D27"/>
    </sheetView>
  </sheetViews>
  <sheetFormatPr baseColWidth="10" defaultColWidth="11.42578125" defaultRowHeight="15" x14ac:dyDescent="0.25"/>
  <cols>
    <col min="1" max="1" width="3.7109375" customWidth="1"/>
    <col min="2" max="2" width="6" customWidth="1"/>
    <col min="3" max="4" width="44.85546875" customWidth="1"/>
    <col min="5" max="5" width="29.85546875" customWidth="1"/>
    <col min="6" max="6" width="25.85546875" customWidth="1"/>
    <col min="7" max="7" width="25.7109375" customWidth="1"/>
    <col min="8" max="8" width="28.140625" customWidth="1"/>
    <col min="9" max="9" width="14.5703125" customWidth="1"/>
  </cols>
  <sheetData>
    <row r="2" spans="1:19" ht="18.75" x14ac:dyDescent="0.25">
      <c r="A2" s="12" t="s">
        <v>170</v>
      </c>
      <c r="B2" s="151"/>
      <c r="D2" s="151"/>
      <c r="E2" s="151"/>
      <c r="F2" s="151"/>
      <c r="G2" s="285" t="s">
        <v>188</v>
      </c>
      <c r="H2" s="285"/>
      <c r="I2" s="285"/>
      <c r="J2" s="285"/>
      <c r="K2" s="151"/>
      <c r="L2" s="151"/>
      <c r="M2" s="151"/>
      <c r="N2" s="151"/>
      <c r="O2" s="151"/>
      <c r="P2" s="151"/>
      <c r="Q2" s="151"/>
      <c r="R2" s="151"/>
      <c r="S2" s="151"/>
    </row>
    <row r="3" spans="1:19" ht="18.75" x14ac:dyDescent="0.25">
      <c r="A3" s="12"/>
      <c r="B3" s="151"/>
      <c r="D3" s="151"/>
      <c r="E3" s="151"/>
      <c r="F3" s="151"/>
      <c r="G3" s="152"/>
      <c r="H3" s="151"/>
      <c r="I3" s="151"/>
      <c r="J3" s="151"/>
      <c r="K3" s="151"/>
      <c r="L3" s="151"/>
      <c r="M3" s="151"/>
      <c r="N3" s="151"/>
      <c r="O3" s="151"/>
      <c r="P3" s="151"/>
      <c r="Q3" s="151"/>
      <c r="R3" s="151"/>
      <c r="S3" s="151"/>
    </row>
    <row r="4" spans="1:19" ht="47.25" customHeight="1" thickBot="1" x14ac:dyDescent="0.3">
      <c r="A4" s="151"/>
      <c r="B4" s="151"/>
      <c r="C4" s="284" t="s">
        <v>0</v>
      </c>
      <c r="D4" s="284"/>
      <c r="E4" s="284"/>
      <c r="F4" s="284"/>
      <c r="G4" s="284"/>
      <c r="H4" s="284"/>
      <c r="I4" s="284"/>
      <c r="J4" s="151"/>
      <c r="K4" s="151"/>
      <c r="L4" s="153"/>
      <c r="M4" s="151"/>
      <c r="N4" s="151"/>
      <c r="O4" s="151"/>
      <c r="P4" s="151"/>
      <c r="Q4" s="151"/>
      <c r="R4" s="151"/>
      <c r="S4" s="151"/>
    </row>
    <row r="5" spans="1:19" ht="15.75" thickBot="1" x14ac:dyDescent="0.3">
      <c r="A5" s="151"/>
      <c r="B5" s="6" t="s">
        <v>171</v>
      </c>
      <c r="C5" s="6"/>
      <c r="D5" s="154"/>
      <c r="E5" s="154"/>
      <c r="F5" s="154"/>
      <c r="G5" s="154"/>
      <c r="H5" s="154"/>
      <c r="I5" s="155"/>
      <c r="J5" s="151"/>
      <c r="K5" s="151"/>
      <c r="L5" s="151"/>
      <c r="M5" s="151"/>
      <c r="N5" s="151"/>
      <c r="O5" s="151"/>
      <c r="P5" s="151"/>
      <c r="Q5" s="151"/>
      <c r="R5" s="151"/>
      <c r="S5" s="151"/>
    </row>
    <row r="6" spans="1:19" x14ac:dyDescent="0.25">
      <c r="A6" s="151"/>
      <c r="B6" s="156"/>
      <c r="C6" s="126"/>
      <c r="D6" s="126"/>
      <c r="E6" s="125"/>
      <c r="F6" s="125"/>
      <c r="G6" s="125"/>
      <c r="H6" s="126"/>
      <c r="I6" s="157" t="s">
        <v>222</v>
      </c>
      <c r="J6" s="151"/>
      <c r="K6" s="151"/>
      <c r="L6" s="151"/>
      <c r="M6" s="151"/>
      <c r="N6" s="151"/>
      <c r="O6" s="151"/>
      <c r="P6" s="151"/>
      <c r="Q6" s="151"/>
      <c r="R6" s="151"/>
      <c r="S6" s="151"/>
    </row>
    <row r="7" spans="1:19" ht="15.75" x14ac:dyDescent="0.25">
      <c r="B7" s="158"/>
      <c r="C7" s="74" t="s">
        <v>1</v>
      </c>
      <c r="D7" s="71" t="s">
        <v>2</v>
      </c>
      <c r="E7" s="94" t="s">
        <v>201</v>
      </c>
      <c r="F7" s="94" t="s">
        <v>203</v>
      </c>
      <c r="G7" s="94" t="s">
        <v>173</v>
      </c>
      <c r="H7" s="94" t="s">
        <v>172</v>
      </c>
      <c r="I7" s="73" t="s">
        <v>200</v>
      </c>
      <c r="J7" s="151"/>
      <c r="K7" s="151"/>
      <c r="L7" s="151"/>
      <c r="M7" s="151"/>
      <c r="N7" s="151"/>
      <c r="O7" s="151"/>
      <c r="P7" s="151"/>
      <c r="Q7" s="151"/>
      <c r="R7" s="151"/>
      <c r="S7" s="151"/>
    </row>
    <row r="8" spans="1:19" x14ac:dyDescent="0.25">
      <c r="A8" s="159"/>
      <c r="B8" s="75" t="s">
        <v>15</v>
      </c>
      <c r="C8" s="160" t="s">
        <v>15</v>
      </c>
      <c r="D8" s="14"/>
      <c r="E8" s="99"/>
      <c r="F8" s="99"/>
      <c r="G8" s="99"/>
      <c r="H8" s="16"/>
      <c r="I8" s="25" t="s">
        <v>6</v>
      </c>
      <c r="J8" s="151"/>
      <c r="K8" s="151"/>
      <c r="L8" s="151"/>
      <c r="M8" s="151"/>
      <c r="N8" s="151"/>
      <c r="O8" s="151"/>
      <c r="P8" s="151"/>
      <c r="Q8" s="151"/>
      <c r="R8" s="151"/>
      <c r="S8" s="151"/>
    </row>
    <row r="9" spans="1:19" x14ac:dyDescent="0.25">
      <c r="A9" s="151"/>
      <c r="B9" s="4"/>
      <c r="C9" s="161" t="s">
        <v>199</v>
      </c>
      <c r="D9" s="161" t="s">
        <v>202</v>
      </c>
      <c r="E9" s="53"/>
      <c r="F9" s="53"/>
      <c r="G9" s="53"/>
      <c r="H9" s="54"/>
      <c r="I9" s="34">
        <v>6.18</v>
      </c>
      <c r="J9" s="151"/>
      <c r="K9" s="151"/>
      <c r="L9" s="151"/>
      <c r="M9" s="151"/>
      <c r="N9" s="151"/>
      <c r="O9" s="151"/>
      <c r="P9" s="151"/>
      <c r="Q9" s="151"/>
      <c r="R9" s="151"/>
      <c r="S9" s="151"/>
    </row>
    <row r="10" spans="1:19" x14ac:dyDescent="0.25">
      <c r="A10" s="151"/>
      <c r="B10" s="4"/>
      <c r="C10" s="161" t="s">
        <v>204</v>
      </c>
      <c r="D10" s="161" t="s">
        <v>202</v>
      </c>
      <c r="E10" s="53"/>
      <c r="F10" s="53"/>
      <c r="G10" s="53"/>
      <c r="H10" s="54"/>
      <c r="I10" s="34"/>
      <c r="J10" s="151"/>
      <c r="K10" s="151"/>
      <c r="L10" s="151"/>
      <c r="M10" s="151"/>
      <c r="N10" s="151"/>
      <c r="O10" s="151"/>
      <c r="P10" s="151"/>
      <c r="Q10" s="151"/>
      <c r="R10" s="151"/>
      <c r="S10" s="151"/>
    </row>
    <row r="11" spans="1:19" x14ac:dyDescent="0.25">
      <c r="A11" s="151"/>
      <c r="B11" s="4"/>
      <c r="C11" s="161" t="s">
        <v>205</v>
      </c>
      <c r="D11" s="161" t="s">
        <v>202</v>
      </c>
      <c r="E11" s="53"/>
      <c r="F11" s="53"/>
      <c r="G11" s="53"/>
      <c r="H11" s="54"/>
      <c r="I11" s="34"/>
      <c r="J11" s="151"/>
      <c r="K11" s="151"/>
      <c r="L11" s="151"/>
      <c r="M11" s="151"/>
      <c r="N11" s="151"/>
      <c r="O11" s="151"/>
      <c r="P11" s="151"/>
      <c r="Q11" s="151"/>
      <c r="R11" s="151"/>
      <c r="S11" s="151"/>
    </row>
    <row r="12" spans="1:19" x14ac:dyDescent="0.25">
      <c r="A12" s="151"/>
      <c r="B12" s="4"/>
      <c r="C12" s="161" t="s">
        <v>206</v>
      </c>
      <c r="D12" s="161" t="s">
        <v>202</v>
      </c>
      <c r="E12" s="53"/>
      <c r="F12" s="53"/>
      <c r="G12" s="53"/>
      <c r="H12" s="54"/>
      <c r="I12" s="34"/>
      <c r="J12" s="151"/>
      <c r="K12" s="151"/>
      <c r="L12" s="151"/>
      <c r="M12" s="151"/>
      <c r="N12" s="151"/>
      <c r="O12" s="151"/>
      <c r="P12" s="151"/>
      <c r="Q12" s="151"/>
      <c r="R12" s="151"/>
      <c r="S12" s="151"/>
    </row>
    <row r="13" spans="1:19" x14ac:dyDescent="0.25">
      <c r="A13" s="151"/>
      <c r="B13" s="4"/>
      <c r="C13" s="161" t="s">
        <v>207</v>
      </c>
      <c r="D13" s="161" t="s">
        <v>202</v>
      </c>
      <c r="E13" s="53"/>
      <c r="F13" s="53"/>
      <c r="G13" s="53"/>
      <c r="H13" s="54"/>
      <c r="I13" s="34"/>
      <c r="J13" s="151"/>
      <c r="K13" s="151"/>
      <c r="L13" s="151"/>
      <c r="M13" s="151"/>
      <c r="N13" s="151"/>
      <c r="O13" s="151"/>
      <c r="P13" s="151"/>
      <c r="Q13" s="151"/>
      <c r="R13" s="151"/>
      <c r="S13" s="151"/>
    </row>
    <row r="14" spans="1:19" x14ac:dyDescent="0.25">
      <c r="A14" s="151"/>
      <c r="B14" s="4"/>
      <c r="C14" s="161" t="s">
        <v>208</v>
      </c>
      <c r="D14" s="161" t="s">
        <v>202</v>
      </c>
      <c r="E14" s="53"/>
      <c r="F14" s="53"/>
      <c r="G14" s="53"/>
      <c r="H14" s="54"/>
      <c r="I14" s="34"/>
      <c r="J14" s="151"/>
      <c r="K14" s="151"/>
      <c r="L14" s="151"/>
      <c r="M14" s="151"/>
      <c r="N14" s="151"/>
      <c r="O14" s="151"/>
      <c r="P14" s="151"/>
      <c r="Q14" s="151"/>
      <c r="R14" s="151"/>
      <c r="S14" s="151"/>
    </row>
    <row r="15" spans="1:19" x14ac:dyDescent="0.25">
      <c r="A15" s="151"/>
      <c r="B15" s="4"/>
      <c r="C15" s="161" t="s">
        <v>209</v>
      </c>
      <c r="D15" s="161" t="s">
        <v>202</v>
      </c>
      <c r="E15" s="53"/>
      <c r="F15" s="53"/>
      <c r="G15" s="53"/>
      <c r="H15" s="54"/>
      <c r="I15" s="34"/>
      <c r="J15" s="151"/>
      <c r="K15" s="151"/>
      <c r="L15" s="151"/>
      <c r="M15" s="151"/>
      <c r="N15" s="151"/>
      <c r="O15" s="151"/>
      <c r="P15" s="151"/>
      <c r="Q15" s="151"/>
      <c r="R15" s="151"/>
      <c r="S15" s="151"/>
    </row>
    <row r="16" spans="1:19" x14ac:dyDescent="0.25">
      <c r="A16" s="151"/>
      <c r="B16" s="4"/>
      <c r="C16" s="161" t="s">
        <v>210</v>
      </c>
      <c r="D16" s="161" t="s">
        <v>202</v>
      </c>
      <c r="E16" s="53"/>
      <c r="F16" s="53"/>
      <c r="G16" s="53"/>
      <c r="H16" s="54"/>
      <c r="I16" s="34"/>
      <c r="J16" s="151"/>
      <c r="K16" s="151"/>
      <c r="L16" s="151"/>
      <c r="M16" s="151"/>
      <c r="N16" s="151"/>
      <c r="O16" s="151"/>
      <c r="P16" s="151"/>
      <c r="Q16" s="151"/>
      <c r="R16" s="151"/>
      <c r="S16" s="151"/>
    </row>
    <row r="17" spans="1:19" x14ac:dyDescent="0.25">
      <c r="A17" s="151"/>
      <c r="B17" s="4"/>
      <c r="C17" s="161" t="s">
        <v>211</v>
      </c>
      <c r="D17" s="161" t="s">
        <v>202</v>
      </c>
      <c r="E17" s="53"/>
      <c r="F17" s="53"/>
      <c r="G17" s="53"/>
      <c r="H17" s="54"/>
      <c r="I17" s="34"/>
      <c r="J17" s="151"/>
      <c r="K17" s="151"/>
      <c r="L17" s="151"/>
      <c r="M17" s="151"/>
      <c r="N17" s="151"/>
      <c r="O17" s="151"/>
      <c r="P17" s="151"/>
      <c r="Q17" s="151"/>
      <c r="R17" s="151"/>
      <c r="S17" s="151"/>
    </row>
    <row r="18" spans="1:19" x14ac:dyDescent="0.25">
      <c r="A18" s="151"/>
      <c r="B18" s="88"/>
      <c r="C18" s="161" t="s">
        <v>212</v>
      </c>
      <c r="D18" s="161" t="s">
        <v>202</v>
      </c>
      <c r="E18" s="53"/>
      <c r="F18" s="53"/>
      <c r="G18" s="53"/>
      <c r="H18" s="54"/>
      <c r="I18" s="34"/>
      <c r="J18" s="151"/>
      <c r="K18" s="151"/>
      <c r="L18" s="151"/>
      <c r="M18" s="151"/>
      <c r="N18" s="151"/>
      <c r="O18" s="151"/>
      <c r="P18" s="151"/>
      <c r="Q18" s="151"/>
      <c r="R18" s="151"/>
      <c r="S18" s="151"/>
    </row>
    <row r="19" spans="1:19" ht="15.75" thickBot="1" x14ac:dyDescent="0.3">
      <c r="A19" s="151"/>
      <c r="B19" s="162" t="s">
        <v>219</v>
      </c>
      <c r="C19" s="163"/>
      <c r="D19" s="163"/>
      <c r="E19" s="164"/>
      <c r="F19" s="165"/>
      <c r="G19" s="165"/>
      <c r="H19" s="165"/>
      <c r="I19" s="166">
        <f>IFERROR(AVERAGE(I9:I18),"keine Daten")</f>
        <v>6.18</v>
      </c>
      <c r="J19" s="151"/>
      <c r="K19" s="151"/>
      <c r="L19" s="151"/>
      <c r="M19" s="151"/>
      <c r="N19" s="151"/>
      <c r="O19" s="151"/>
      <c r="P19" s="151"/>
      <c r="Q19" s="151"/>
      <c r="R19" s="151"/>
      <c r="S19" s="151"/>
    </row>
    <row r="20" spans="1:19" ht="16.5" thickTop="1" thickBot="1" x14ac:dyDescent="0.3">
      <c r="B20" s="17"/>
      <c r="C20" s="10"/>
      <c r="D20" s="10"/>
      <c r="E20" s="10"/>
      <c r="F20" s="10"/>
      <c r="G20" s="10"/>
      <c r="H20" s="10"/>
      <c r="I20" s="5"/>
      <c r="K20" s="151"/>
      <c r="L20" s="151"/>
      <c r="M20" s="151"/>
      <c r="N20" s="151"/>
      <c r="O20" s="151"/>
      <c r="P20" s="151"/>
      <c r="Q20" s="151"/>
      <c r="R20" s="151"/>
      <c r="S20" s="151"/>
    </row>
    <row r="21" spans="1:19" x14ac:dyDescent="0.25">
      <c r="K21" s="151"/>
      <c r="L21" s="151"/>
      <c r="M21" s="151"/>
      <c r="N21" s="151"/>
      <c r="O21" s="151"/>
      <c r="P21" s="151"/>
      <c r="Q21" s="151"/>
      <c r="R21" s="151"/>
      <c r="S21" s="151"/>
    </row>
    <row r="22" spans="1:19" x14ac:dyDescent="0.25">
      <c r="A22" s="151"/>
      <c r="B22" s="151"/>
      <c r="C22" s="151"/>
      <c r="D22" s="151"/>
      <c r="E22" s="151"/>
      <c r="F22" s="151"/>
      <c r="G22" s="151"/>
      <c r="H22" s="151"/>
      <c r="I22" s="151"/>
      <c r="J22" s="151"/>
      <c r="M22" s="151"/>
      <c r="N22" s="151"/>
      <c r="O22" s="151"/>
      <c r="P22" s="151"/>
      <c r="Q22" s="151"/>
      <c r="R22" s="151"/>
      <c r="S22" s="151"/>
    </row>
    <row r="23" spans="1:19" x14ac:dyDescent="0.25">
      <c r="K23" s="151"/>
      <c r="L23" s="151"/>
      <c r="M23" s="151"/>
      <c r="N23" s="151"/>
      <c r="O23" s="151"/>
      <c r="P23" s="151"/>
      <c r="Q23" s="151"/>
      <c r="R23" s="151"/>
      <c r="S23" s="151"/>
    </row>
    <row r="24" spans="1:19" x14ac:dyDescent="0.25">
      <c r="M24" s="151"/>
      <c r="N24" s="151"/>
      <c r="O24" s="151"/>
      <c r="P24" s="151"/>
      <c r="Q24" s="151"/>
      <c r="R24" s="151"/>
      <c r="S24" s="151"/>
    </row>
    <row r="25" spans="1:19" x14ac:dyDescent="0.25">
      <c r="A25" s="151"/>
      <c r="B25" s="151"/>
      <c r="C25" s="151"/>
      <c r="D25" s="151"/>
      <c r="E25" s="151"/>
      <c r="F25" s="151"/>
      <c r="G25" s="151"/>
      <c r="H25" s="151"/>
      <c r="I25" s="151"/>
      <c r="J25" s="151"/>
      <c r="K25" s="151"/>
      <c r="L25" s="151"/>
      <c r="M25" s="151"/>
      <c r="N25" s="151"/>
      <c r="O25" s="151"/>
      <c r="P25" s="151"/>
      <c r="Q25" s="151"/>
      <c r="R25" s="151"/>
      <c r="S25" s="151"/>
    </row>
    <row r="26" spans="1:19" x14ac:dyDescent="0.25">
      <c r="M26" s="151"/>
      <c r="N26" s="151"/>
      <c r="O26" s="151"/>
      <c r="P26" s="151"/>
      <c r="Q26" s="151"/>
      <c r="R26" s="151"/>
      <c r="S26" s="151"/>
    </row>
    <row r="27" spans="1:19" x14ac:dyDescent="0.25">
      <c r="A27" s="151"/>
      <c r="B27" s="151"/>
      <c r="C27" s="151"/>
      <c r="D27" s="151"/>
      <c r="E27" s="151"/>
      <c r="F27" s="151"/>
      <c r="G27" s="151"/>
      <c r="H27" s="151"/>
      <c r="I27" s="151"/>
      <c r="J27" s="151"/>
      <c r="K27" s="151"/>
      <c r="L27" s="151"/>
      <c r="M27" s="151"/>
      <c r="N27" s="151"/>
      <c r="O27" s="151"/>
      <c r="P27" s="151"/>
      <c r="Q27" s="151"/>
      <c r="R27" s="151"/>
      <c r="S27" s="151"/>
    </row>
    <row r="28" spans="1:19" x14ac:dyDescent="0.25">
      <c r="M28" s="151"/>
      <c r="N28" s="151"/>
      <c r="O28" s="151"/>
      <c r="P28" s="151"/>
      <c r="Q28" s="151"/>
      <c r="R28" s="151"/>
      <c r="S28" s="151"/>
    </row>
    <row r="29" spans="1:19" x14ac:dyDescent="0.25">
      <c r="A29" s="151"/>
      <c r="B29" s="151"/>
      <c r="C29" s="151"/>
      <c r="D29" s="151"/>
      <c r="E29" s="151"/>
      <c r="F29" s="151"/>
      <c r="G29" s="151"/>
      <c r="H29" s="151"/>
      <c r="I29" s="151"/>
      <c r="J29" s="151"/>
      <c r="K29" s="151"/>
      <c r="L29" s="151"/>
      <c r="M29" s="151"/>
      <c r="N29" s="151"/>
      <c r="O29" s="151"/>
      <c r="P29" s="151"/>
      <c r="Q29" s="151"/>
      <c r="R29" s="151"/>
      <c r="S29" s="151"/>
    </row>
    <row r="30" spans="1:19" x14ac:dyDescent="0.25">
      <c r="M30" s="151"/>
      <c r="N30" s="151"/>
      <c r="O30" s="151"/>
      <c r="P30" s="151"/>
      <c r="Q30" s="151"/>
      <c r="R30" s="151"/>
      <c r="S30" s="151"/>
    </row>
    <row r="31" spans="1:19" x14ac:dyDescent="0.25">
      <c r="A31" s="151"/>
      <c r="B31" s="151"/>
      <c r="C31" s="151"/>
      <c r="D31" s="151"/>
      <c r="E31" s="151"/>
      <c r="F31" s="151"/>
      <c r="G31" s="151"/>
      <c r="H31" s="151"/>
      <c r="I31" s="151"/>
      <c r="J31" s="151"/>
      <c r="K31" s="151"/>
      <c r="L31" s="151"/>
      <c r="M31" s="151"/>
      <c r="N31" s="151"/>
      <c r="O31" s="151"/>
      <c r="P31" s="151"/>
      <c r="Q31" s="151"/>
      <c r="R31" s="151"/>
      <c r="S31" s="151"/>
    </row>
    <row r="32" spans="1:19" x14ac:dyDescent="0.25">
      <c r="M32" s="151"/>
      <c r="N32" s="151"/>
      <c r="O32" s="151"/>
      <c r="P32" s="151"/>
      <c r="Q32" s="151"/>
      <c r="R32" s="151"/>
      <c r="S32" s="151"/>
    </row>
    <row r="33" spans="1:19" x14ac:dyDescent="0.25">
      <c r="A33" s="151"/>
      <c r="B33" s="151"/>
      <c r="C33" s="151"/>
      <c r="D33" s="151"/>
      <c r="E33" s="151"/>
      <c r="F33" s="151"/>
      <c r="G33" s="151"/>
      <c r="H33" s="151"/>
      <c r="I33" s="151"/>
      <c r="J33" s="151"/>
      <c r="K33" s="151"/>
      <c r="L33" s="151"/>
      <c r="M33" s="151"/>
      <c r="N33" s="151"/>
      <c r="O33" s="151"/>
      <c r="P33" s="151"/>
      <c r="Q33" s="151"/>
      <c r="R33" s="151"/>
      <c r="S33" s="151"/>
    </row>
    <row r="34" spans="1:19" x14ac:dyDescent="0.25">
      <c r="M34" s="151"/>
      <c r="N34" s="151"/>
      <c r="O34" s="151"/>
      <c r="P34" s="151"/>
      <c r="Q34" s="151"/>
      <c r="R34" s="151"/>
      <c r="S34" s="151"/>
    </row>
    <row r="35" spans="1:19" x14ac:dyDescent="0.25">
      <c r="A35" s="151"/>
      <c r="B35" s="151"/>
      <c r="C35" s="151"/>
      <c r="D35" s="151"/>
      <c r="E35" s="151"/>
      <c r="F35" s="151"/>
      <c r="G35" s="151"/>
      <c r="H35" s="151"/>
      <c r="I35" s="151"/>
      <c r="J35" s="151"/>
      <c r="K35" s="151"/>
      <c r="L35" s="151"/>
      <c r="M35" s="151"/>
      <c r="N35" s="151"/>
      <c r="O35" s="151"/>
      <c r="P35" s="151"/>
      <c r="Q35" s="151"/>
      <c r="R35" s="151"/>
      <c r="S35" s="151"/>
    </row>
    <row r="36" spans="1:19" x14ac:dyDescent="0.25">
      <c r="M36" s="151"/>
      <c r="N36" s="151"/>
      <c r="O36" s="151"/>
      <c r="P36" s="151"/>
      <c r="Q36" s="151"/>
      <c r="R36" s="151"/>
      <c r="S36" s="151"/>
    </row>
    <row r="37" spans="1:19" x14ac:dyDescent="0.25">
      <c r="A37" s="151"/>
      <c r="B37" s="151"/>
      <c r="C37" s="151"/>
      <c r="D37" s="151"/>
      <c r="E37" s="151"/>
      <c r="F37" s="151"/>
      <c r="G37" s="151"/>
      <c r="H37" s="151"/>
      <c r="I37" s="151"/>
      <c r="J37" s="151"/>
      <c r="K37" s="151"/>
      <c r="L37" s="151"/>
      <c r="M37" s="151"/>
      <c r="N37" s="151"/>
      <c r="O37" s="151"/>
      <c r="P37" s="151"/>
      <c r="Q37" s="151"/>
      <c r="R37" s="151"/>
      <c r="S37" s="151"/>
    </row>
    <row r="38" spans="1:19" x14ac:dyDescent="0.25">
      <c r="M38" s="151"/>
      <c r="N38" s="151"/>
      <c r="O38" s="151"/>
      <c r="P38" s="151"/>
      <c r="Q38" s="151"/>
      <c r="R38" s="151"/>
      <c r="S38" s="151"/>
    </row>
    <row r="39" spans="1:19" x14ac:dyDescent="0.25">
      <c r="A39" s="151"/>
      <c r="B39" s="151"/>
      <c r="C39" s="151"/>
      <c r="D39" s="151"/>
      <c r="E39" s="151"/>
      <c r="F39" s="151"/>
      <c r="G39" s="151"/>
      <c r="H39" s="151"/>
      <c r="I39" s="151"/>
      <c r="J39" s="151"/>
      <c r="K39" s="151"/>
      <c r="L39" s="151"/>
      <c r="M39" s="151"/>
      <c r="N39" s="151"/>
      <c r="O39" s="151"/>
      <c r="P39" s="151"/>
      <c r="Q39" s="151"/>
      <c r="R39" s="151"/>
      <c r="S39" s="151"/>
    </row>
    <row r="40" spans="1:19" x14ac:dyDescent="0.25">
      <c r="M40" s="151"/>
      <c r="N40" s="151"/>
      <c r="O40" s="151"/>
      <c r="P40" s="151"/>
      <c r="Q40" s="151"/>
      <c r="R40" s="151"/>
      <c r="S40" s="151"/>
    </row>
    <row r="41" spans="1:19" x14ac:dyDescent="0.25">
      <c r="A41" s="151"/>
      <c r="B41" s="151"/>
      <c r="C41" s="151"/>
      <c r="D41" s="151"/>
      <c r="E41" s="151"/>
      <c r="F41" s="151"/>
      <c r="G41" s="151"/>
      <c r="H41" s="151"/>
      <c r="I41" s="151"/>
      <c r="J41" s="151"/>
      <c r="K41" s="151"/>
      <c r="L41" s="151"/>
      <c r="M41" s="151"/>
      <c r="N41" s="151"/>
      <c r="O41" s="151"/>
      <c r="P41" s="151"/>
      <c r="Q41" s="151"/>
      <c r="R41" s="151"/>
      <c r="S41" s="151"/>
    </row>
    <row r="42" spans="1:19" x14ac:dyDescent="0.25">
      <c r="M42" s="151"/>
      <c r="N42" s="151"/>
      <c r="O42" s="151"/>
      <c r="P42" s="151"/>
      <c r="Q42" s="151"/>
      <c r="R42" s="151"/>
      <c r="S42" s="151"/>
    </row>
    <row r="43" spans="1:19" x14ac:dyDescent="0.25">
      <c r="A43" s="151"/>
      <c r="B43" s="151"/>
      <c r="C43" s="151"/>
      <c r="D43" s="151"/>
      <c r="E43" s="151"/>
      <c r="F43" s="151"/>
      <c r="G43" s="151"/>
      <c r="H43" s="151"/>
      <c r="I43" s="151"/>
      <c r="J43" s="151"/>
      <c r="K43" s="151"/>
      <c r="L43" s="151"/>
      <c r="M43" s="151"/>
      <c r="N43" s="151"/>
      <c r="O43" s="151"/>
      <c r="P43" s="151"/>
      <c r="Q43" s="151"/>
      <c r="R43" s="151"/>
      <c r="S43" s="151"/>
    </row>
    <row r="44" spans="1:19" x14ac:dyDescent="0.25">
      <c r="M44" s="151"/>
      <c r="N44" s="151"/>
      <c r="O44" s="151"/>
      <c r="P44" s="151"/>
      <c r="Q44" s="151"/>
      <c r="R44" s="151"/>
      <c r="S44" s="151"/>
    </row>
    <row r="45" spans="1:19" x14ac:dyDescent="0.25">
      <c r="A45" s="151"/>
      <c r="B45" s="151"/>
      <c r="C45" s="151"/>
      <c r="D45" s="151"/>
      <c r="E45" s="151"/>
      <c r="F45" s="151"/>
      <c r="G45" s="151"/>
      <c r="H45" s="151"/>
      <c r="I45" s="151"/>
      <c r="J45" s="151"/>
      <c r="K45" s="151"/>
      <c r="L45" s="151"/>
      <c r="M45" s="151"/>
      <c r="N45" s="151"/>
      <c r="O45" s="151"/>
      <c r="P45" s="151"/>
      <c r="Q45" s="151"/>
      <c r="R45" s="151"/>
      <c r="S45" s="151"/>
    </row>
    <row r="46" spans="1:19" x14ac:dyDescent="0.25">
      <c r="M46" s="151"/>
      <c r="N46" s="151"/>
      <c r="O46" s="151"/>
      <c r="P46" s="151"/>
      <c r="Q46" s="151"/>
      <c r="R46" s="151"/>
      <c r="S46" s="151"/>
    </row>
    <row r="47" spans="1:19" x14ac:dyDescent="0.25">
      <c r="A47" s="151"/>
      <c r="B47" s="151"/>
      <c r="C47" s="151"/>
      <c r="D47" s="151"/>
      <c r="E47" s="151"/>
      <c r="F47" s="151"/>
      <c r="G47" s="151"/>
      <c r="H47" s="151"/>
      <c r="I47" s="151"/>
      <c r="J47" s="151"/>
      <c r="K47" s="151"/>
      <c r="L47" s="151"/>
      <c r="M47" s="151"/>
      <c r="N47" s="151"/>
      <c r="O47" s="151"/>
      <c r="P47" s="151"/>
      <c r="Q47" s="151"/>
      <c r="R47" s="151"/>
      <c r="S47" s="151"/>
    </row>
    <row r="48" spans="1:19" x14ac:dyDescent="0.25">
      <c r="M48" s="151"/>
      <c r="N48" s="151"/>
      <c r="O48" s="151"/>
      <c r="P48" s="151"/>
      <c r="Q48" s="151"/>
      <c r="R48" s="151"/>
      <c r="S48" s="151"/>
    </row>
    <row r="49" spans="1:19" x14ac:dyDescent="0.25">
      <c r="A49" s="151"/>
      <c r="B49" s="151"/>
      <c r="C49" s="151"/>
      <c r="D49" s="151"/>
      <c r="E49" s="151"/>
      <c r="F49" s="151"/>
      <c r="G49" s="151"/>
      <c r="H49" s="151"/>
      <c r="I49" s="151"/>
      <c r="J49" s="151"/>
      <c r="K49" s="151"/>
      <c r="L49" s="151"/>
      <c r="M49" s="151"/>
      <c r="N49" s="151"/>
      <c r="O49" s="151"/>
      <c r="P49" s="151"/>
      <c r="Q49" s="151"/>
      <c r="R49" s="151"/>
      <c r="S49" s="151"/>
    </row>
  </sheetData>
  <sheetProtection algorithmName="SHA-512" hashValue="c4taB8YTLB7UouNJoh1GRbED7Oj/IAM3Gcn0wcEikaacG/g4NxT9y21yHJ3I8tc286myWXsMzpEj2hX060tM/g==" saltValue="0nDk/ftzsys3XgOWKey6BA==" spinCount="100000" sheet="1" objects="1" scenarios="1"/>
  <mergeCells count="2">
    <mergeCell ref="C4:I4"/>
    <mergeCell ref="G2:J2"/>
  </mergeCells>
  <phoneticPr fontId="26" type="noConversion"/>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E6C7-3F5F-4E29-8BFF-EEB096839658}">
  <dimension ref="A2:I13"/>
  <sheetViews>
    <sheetView showGridLines="0" zoomScale="90" zoomScaleNormal="90" workbookViewId="0"/>
  </sheetViews>
  <sheetFormatPr baseColWidth="10" defaultColWidth="11.42578125" defaultRowHeight="15" x14ac:dyDescent="0.25"/>
  <cols>
    <col min="1" max="2" width="3.7109375" customWidth="1"/>
    <col min="3" max="4" width="44.7109375" customWidth="1"/>
    <col min="5" max="5" width="22.7109375" customWidth="1"/>
    <col min="9" max="9" width="87.5703125" customWidth="1"/>
  </cols>
  <sheetData>
    <row r="2" spans="1:9" ht="18.75" x14ac:dyDescent="0.25">
      <c r="A2" s="167" t="s">
        <v>95</v>
      </c>
    </row>
    <row r="3" spans="1:9" x14ac:dyDescent="0.25">
      <c r="E3" s="27"/>
      <c r="F3" s="66"/>
      <c r="G3" s="27"/>
      <c r="H3" s="168"/>
      <c r="I3" s="131"/>
    </row>
    <row r="4" spans="1:9" x14ac:dyDescent="0.25">
      <c r="B4" s="169" t="s">
        <v>244</v>
      </c>
      <c r="E4" s="27"/>
      <c r="F4" s="66"/>
      <c r="G4" s="27"/>
      <c r="H4" s="168"/>
      <c r="I4" s="131"/>
    </row>
    <row r="5" spans="1:9" ht="15.75" thickBot="1" x14ac:dyDescent="0.3">
      <c r="B5" s="169"/>
      <c r="E5" s="27"/>
      <c r="F5" s="66"/>
      <c r="G5" s="27"/>
      <c r="H5" s="168"/>
      <c r="I5" s="131"/>
    </row>
    <row r="6" spans="1:9" ht="15.75" x14ac:dyDescent="0.25">
      <c r="B6" s="170" t="s">
        <v>96</v>
      </c>
      <c r="C6" s="171"/>
      <c r="D6" s="124"/>
      <c r="E6" s="172"/>
      <c r="F6" s="173"/>
      <c r="G6" s="27"/>
      <c r="H6" s="168"/>
      <c r="I6" s="131"/>
    </row>
    <row r="7" spans="1:9" x14ac:dyDescent="0.25">
      <c r="A7" s="109"/>
      <c r="B7" s="174"/>
      <c r="C7" s="175"/>
      <c r="D7" s="99"/>
      <c r="E7" s="176"/>
      <c r="F7" s="177"/>
      <c r="G7" s="27"/>
      <c r="H7" s="168"/>
      <c r="I7" s="131" t="s">
        <v>239</v>
      </c>
    </row>
    <row r="8" spans="1:9" x14ac:dyDescent="0.25">
      <c r="B8" s="26"/>
      <c r="C8" s="178" t="s">
        <v>52</v>
      </c>
      <c r="D8" s="179" t="s">
        <v>122</v>
      </c>
      <c r="E8" s="180">
        <v>4.3200000000000002E-2</v>
      </c>
      <c r="F8" s="181"/>
      <c r="G8" s="27"/>
      <c r="H8" s="168"/>
      <c r="I8" s="182" t="s">
        <v>121</v>
      </c>
    </row>
    <row r="9" spans="1:9" x14ac:dyDescent="0.25">
      <c r="B9" s="26"/>
      <c r="C9" s="1" t="s">
        <v>227</v>
      </c>
      <c r="D9" s="87" t="s">
        <v>53</v>
      </c>
      <c r="E9" s="183">
        <v>2.2499999999999999E-2</v>
      </c>
      <c r="F9" s="184"/>
      <c r="G9" s="27"/>
      <c r="H9" s="168"/>
      <c r="I9" s="185"/>
    </row>
    <row r="10" spans="1:9" x14ac:dyDescent="0.25">
      <c r="B10" s="26"/>
      <c r="C10" s="186" t="s">
        <v>65</v>
      </c>
      <c r="D10" s="87" t="s">
        <v>109</v>
      </c>
      <c r="E10" s="187">
        <v>30</v>
      </c>
      <c r="F10" s="188" t="s">
        <v>66</v>
      </c>
    </row>
    <row r="11" spans="1:9" x14ac:dyDescent="0.25">
      <c r="B11" s="26"/>
      <c r="C11" s="186"/>
      <c r="D11" s="87" t="s">
        <v>110</v>
      </c>
      <c r="E11" s="187">
        <v>20</v>
      </c>
      <c r="F11" s="188" t="s">
        <v>66</v>
      </c>
    </row>
    <row r="12" spans="1:9" x14ac:dyDescent="0.25">
      <c r="B12" s="26"/>
      <c r="C12" s="178"/>
      <c r="D12" s="87" t="s">
        <v>54</v>
      </c>
      <c r="E12" s="187">
        <v>8</v>
      </c>
      <c r="F12" s="188" t="s">
        <v>66</v>
      </c>
    </row>
    <row r="13" spans="1:9" ht="15.75" thickBot="1" x14ac:dyDescent="0.3">
      <c r="B13" s="17"/>
      <c r="C13" s="10"/>
      <c r="D13" s="10"/>
      <c r="E13" s="10"/>
      <c r="F13" s="5"/>
    </row>
  </sheetData>
  <sheetProtection algorithmName="SHA-512" hashValue="nK8XzZFaZ2nUXt4r+YowhFgUkvEElTmTCZP0YJPJP7VUInWOq0b+Q/rE8T7yYHDzqGOQ6bFsBLxD6z65ykXTNA==" saltValue="rO0yZrgIXdeQgGt30mdg4w==" spinCount="100000" sheet="1" objects="1" scenarios="1"/>
  <hyperlinks>
    <hyperlink ref="I8" r:id="rId1" xr:uid="{A4D2207B-BAD3-4F7D-9208-B6BC1A1F6C1E}"/>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8E2A-3803-448A-98BB-051C5F91E5D9}">
  <dimension ref="A1:G59"/>
  <sheetViews>
    <sheetView showGridLines="0" zoomScale="90" zoomScaleNormal="90" workbookViewId="0">
      <selection activeCell="N23" sqref="N23"/>
    </sheetView>
  </sheetViews>
  <sheetFormatPr baseColWidth="10" defaultColWidth="11.42578125" defaultRowHeight="15" x14ac:dyDescent="0.25"/>
  <cols>
    <col min="1" max="2" width="3.5703125" customWidth="1"/>
    <col min="3" max="4" width="44.85546875" customWidth="1"/>
    <col min="5" max="7" width="22.7109375" customWidth="1"/>
    <col min="10" max="10" width="11.42578125" customWidth="1"/>
  </cols>
  <sheetData>
    <row r="1" spans="1:7" ht="9.75" customHeight="1" x14ac:dyDescent="0.25"/>
    <row r="2" spans="1:7" ht="18.75" x14ac:dyDescent="0.25">
      <c r="A2" s="12" t="s">
        <v>81</v>
      </c>
    </row>
    <row r="3" spans="1:7" ht="15.75" x14ac:dyDescent="0.25">
      <c r="B3" s="189" t="s">
        <v>169</v>
      </c>
    </row>
    <row r="4" spans="1:7" ht="15.75" x14ac:dyDescent="0.25">
      <c r="B4" s="190" t="s">
        <v>242</v>
      </c>
    </row>
    <row r="5" spans="1:7" ht="15.75" thickBot="1" x14ac:dyDescent="0.3"/>
    <row r="6" spans="1:7" ht="15.75" thickBot="1" x14ac:dyDescent="0.3">
      <c r="B6" s="6" t="s">
        <v>62</v>
      </c>
      <c r="C6" s="191"/>
      <c r="D6" s="7"/>
      <c r="E6" s="7"/>
      <c r="F6" s="7"/>
      <c r="G6" s="192"/>
    </row>
    <row r="7" spans="1:7" ht="38.25" x14ac:dyDescent="0.25">
      <c r="B7" s="22"/>
      <c r="C7" s="20"/>
      <c r="D7" s="20"/>
      <c r="E7" s="21" t="s">
        <v>71</v>
      </c>
      <c r="F7" s="21" t="s">
        <v>72</v>
      </c>
      <c r="G7" s="23" t="s">
        <v>73</v>
      </c>
    </row>
    <row r="8" spans="1:7" x14ac:dyDescent="0.25">
      <c r="B8" s="24"/>
      <c r="C8" s="18"/>
      <c r="D8" s="18"/>
      <c r="E8" s="16" t="s">
        <v>6</v>
      </c>
      <c r="F8" s="16" t="s">
        <v>6</v>
      </c>
      <c r="G8" s="25" t="s">
        <v>6</v>
      </c>
    </row>
    <row r="9" spans="1:7" ht="30" x14ac:dyDescent="0.25">
      <c r="B9" s="26"/>
      <c r="C9" s="193" t="s">
        <v>76</v>
      </c>
      <c r="D9" s="193" t="s">
        <v>8</v>
      </c>
      <c r="E9" s="194">
        <f>'(A1) Angaben zum Förder-Projekt'!F26</f>
        <v>100644.09435099999</v>
      </c>
      <c r="F9" s="195"/>
      <c r="G9" s="196">
        <f>E9+F9</f>
        <v>100644.09435099999</v>
      </c>
    </row>
    <row r="10" spans="1:7" ht="30" x14ac:dyDescent="0.25">
      <c r="B10" s="26"/>
      <c r="D10" s="193" t="s">
        <v>9</v>
      </c>
      <c r="E10" s="194">
        <f>'(A1) Angaben zum Förder-Projekt'!G26</f>
        <v>0</v>
      </c>
      <c r="F10" s="194">
        <f>'(A1) Angaben zum Förder-Projekt'!G27</f>
        <v>17080.69826666667</v>
      </c>
      <c r="G10" s="196">
        <f t="shared" ref="G10:G16" si="0">E10+F10</f>
        <v>17080.69826666667</v>
      </c>
    </row>
    <row r="11" spans="1:7" x14ac:dyDescent="0.25">
      <c r="B11" s="26"/>
      <c r="D11" s="193" t="s">
        <v>83</v>
      </c>
      <c r="E11" s="194">
        <f>'(A1) Angaben zum Förder-Projekt'!J26</f>
        <v>50322.047175499996</v>
      </c>
      <c r="F11" s="195"/>
      <c r="G11" s="196">
        <f t="shared" si="0"/>
        <v>50322.047175499996</v>
      </c>
    </row>
    <row r="12" spans="1:7" x14ac:dyDescent="0.25">
      <c r="B12" s="197"/>
      <c r="C12" s="198"/>
      <c r="D12" s="15" t="s">
        <v>84</v>
      </c>
      <c r="E12" s="199">
        <f>'(A1) Angaben zum Förder-Projekt'!K26</f>
        <v>15096.614152649998</v>
      </c>
      <c r="F12" s="200"/>
      <c r="G12" s="201">
        <f t="shared" si="0"/>
        <v>15096.614152649998</v>
      </c>
    </row>
    <row r="13" spans="1:7" ht="30" x14ac:dyDescent="0.25">
      <c r="B13" s="202"/>
      <c r="C13" s="19" t="s">
        <v>74</v>
      </c>
      <c r="D13" s="19" t="s">
        <v>8</v>
      </c>
      <c r="E13" s="203">
        <f>'(A1) Angaben zum Förder-Projekt'!F28</f>
        <v>101931.96664900001</v>
      </c>
      <c r="F13" s="204"/>
      <c r="G13" s="205">
        <f>E13+F13</f>
        <v>101931.96664900001</v>
      </c>
    </row>
    <row r="14" spans="1:7" ht="30" x14ac:dyDescent="0.25">
      <c r="B14" s="26"/>
      <c r="D14" s="193" t="s">
        <v>9</v>
      </c>
      <c r="E14" s="194">
        <f>'(A1) Angaben zum Förder-Projekt'!G28</f>
        <v>0</v>
      </c>
      <c r="F14" s="194">
        <f>'(A1) Angaben zum Förder-Projekt'!G29</f>
        <v>10468.815066666668</v>
      </c>
      <c r="G14" s="196">
        <f t="shared" si="0"/>
        <v>10468.815066666668</v>
      </c>
    </row>
    <row r="15" spans="1:7" x14ac:dyDescent="0.25">
      <c r="B15" s="26"/>
      <c r="D15" s="193" t="s">
        <v>83</v>
      </c>
      <c r="E15" s="194">
        <f>'(A1) Angaben zum Förder-Projekt'!J28</f>
        <v>50965.983324500005</v>
      </c>
      <c r="F15" s="195"/>
      <c r="G15" s="196">
        <f t="shared" si="0"/>
        <v>50965.983324500005</v>
      </c>
    </row>
    <row r="16" spans="1:7" x14ac:dyDescent="0.25">
      <c r="B16" s="197"/>
      <c r="C16" s="198"/>
      <c r="D16" s="15" t="s">
        <v>84</v>
      </c>
      <c r="E16" s="199">
        <f>'(A1) Angaben zum Förder-Projekt'!K28</f>
        <v>15289.79499735</v>
      </c>
      <c r="F16" s="200"/>
      <c r="G16" s="201">
        <f t="shared" si="0"/>
        <v>15289.79499735</v>
      </c>
    </row>
    <row r="17" spans="2:7" ht="30" x14ac:dyDescent="0.25">
      <c r="B17" s="202"/>
      <c r="C17" s="19" t="s">
        <v>23</v>
      </c>
      <c r="D17" s="19" t="s">
        <v>8</v>
      </c>
      <c r="E17" s="203">
        <f>'(A1) Angaben zum Förder-Projekt'!F35</f>
        <v>3272.9835000000003</v>
      </c>
      <c r="F17" s="204"/>
      <c r="G17" s="205">
        <f>E17+F17</f>
        <v>3272.9835000000003</v>
      </c>
    </row>
    <row r="18" spans="2:7" ht="30" x14ac:dyDescent="0.25">
      <c r="B18" s="26"/>
      <c r="D18" s="193" t="s">
        <v>9</v>
      </c>
      <c r="E18" s="194">
        <f>'(A1) Angaben zum Förder-Projekt'!G35</f>
        <v>0</v>
      </c>
      <c r="F18" s="194">
        <f>'(A1) Angaben zum Förder-Projekt'!G36</f>
        <v>489.06650000000002</v>
      </c>
      <c r="G18" s="196">
        <f t="shared" ref="G18:G20" si="1">E18+F18</f>
        <v>489.06650000000002</v>
      </c>
    </row>
    <row r="19" spans="2:7" x14ac:dyDescent="0.25">
      <c r="B19" s="26"/>
      <c r="D19" s="193" t="s">
        <v>83</v>
      </c>
      <c r="E19" s="194">
        <f>'(A1) Angaben zum Förder-Projekt'!J35</f>
        <v>1636.4917500000001</v>
      </c>
      <c r="F19" s="195"/>
      <c r="G19" s="196">
        <f t="shared" si="1"/>
        <v>1636.4917500000001</v>
      </c>
    </row>
    <row r="20" spans="2:7" x14ac:dyDescent="0.25">
      <c r="B20" s="197"/>
      <c r="C20" s="198"/>
      <c r="D20" s="15" t="s">
        <v>84</v>
      </c>
      <c r="E20" s="199">
        <f>'(A1) Angaben zum Förder-Projekt'!K35</f>
        <v>490.94752500000004</v>
      </c>
      <c r="F20" s="200"/>
      <c r="G20" s="201">
        <f t="shared" si="1"/>
        <v>490.94752500000004</v>
      </c>
    </row>
    <row r="21" spans="2:7" ht="15.75" thickBot="1" x14ac:dyDescent="0.3">
      <c r="B21" s="206"/>
      <c r="C21" s="207" t="s">
        <v>123</v>
      </c>
      <c r="D21" s="208"/>
      <c r="E21" s="209">
        <f>E9+E10+E13+E14+E17+E18</f>
        <v>205849.04449999999</v>
      </c>
      <c r="F21" s="209">
        <f t="shared" ref="F21:G21" si="2">F9+F10+F13+F14+F17+F18</f>
        <v>28038.579833333337</v>
      </c>
      <c r="G21" s="210">
        <f t="shared" si="2"/>
        <v>233887.62433333331</v>
      </c>
    </row>
    <row r="22" spans="2:7" ht="16.5" thickTop="1" thickBot="1" x14ac:dyDescent="0.3">
      <c r="B22" s="206"/>
      <c r="C22" s="207" t="s">
        <v>124</v>
      </c>
      <c r="D22" s="208"/>
      <c r="E22" s="211">
        <f>E21-E11-E12-E15-E16-E19-E20</f>
        <v>72047.165575000006</v>
      </c>
      <c r="F22" s="211">
        <f t="shared" ref="F22:G22" si="3">F21-F11-F12-F15-F16-F19-F20</f>
        <v>28038.579833333337</v>
      </c>
      <c r="G22" s="212">
        <f t="shared" si="3"/>
        <v>100085.74540833333</v>
      </c>
    </row>
    <row r="23" spans="2:7" ht="15.75" thickTop="1" x14ac:dyDescent="0.25">
      <c r="B23" s="26"/>
      <c r="C23" s="213"/>
      <c r="D23" s="193" t="s">
        <v>67</v>
      </c>
      <c r="E23" s="194">
        <f>E22/'(Ko) weitere Kostenparameter'!$E$10</f>
        <v>2401.5721858333336</v>
      </c>
      <c r="F23" s="194">
        <f>F22/'(Ko) weitere Kostenparameter'!$E$10</f>
        <v>934.61932777777793</v>
      </c>
      <c r="G23" s="196">
        <f>G22/'(Ko) weitere Kostenparameter'!$E$10</f>
        <v>3336.1915136111111</v>
      </c>
    </row>
    <row r="24" spans="2:7" x14ac:dyDescent="0.25">
      <c r="B24" s="26"/>
      <c r="C24" s="213"/>
      <c r="D24" s="193" t="s">
        <v>68</v>
      </c>
      <c r="E24" s="194">
        <f>E22/2*'(Ko) weitere Kostenparameter'!$E$8</f>
        <v>1556.2187764200003</v>
      </c>
      <c r="F24" s="194">
        <f>F22/2*'(Ko) weitere Kostenparameter'!$E$8</f>
        <v>605.63332440000011</v>
      </c>
      <c r="G24" s="196">
        <f>G22/2*'(Ko) weitere Kostenparameter'!$E$8</f>
        <v>2161.85210082</v>
      </c>
    </row>
    <row r="25" spans="2:7" x14ac:dyDescent="0.25">
      <c r="B25" s="197"/>
      <c r="C25" s="213"/>
      <c r="D25" s="193" t="s">
        <v>69</v>
      </c>
      <c r="E25" s="199">
        <f>E21*'(Ko) weitere Kostenparameter'!$E$9</f>
        <v>4631.6035012499997</v>
      </c>
      <c r="F25" s="199">
        <f>F21*'(Ko) weitere Kostenparameter'!$E$9</f>
        <v>630.86804625000002</v>
      </c>
      <c r="G25" s="201">
        <f>G21*'(Ko) weitere Kostenparameter'!$E$9</f>
        <v>5262.4715474999994</v>
      </c>
    </row>
    <row r="26" spans="2:7" ht="15.75" thickBot="1" x14ac:dyDescent="0.3">
      <c r="B26" s="214"/>
      <c r="C26" s="83" t="s">
        <v>75</v>
      </c>
      <c r="D26" s="83"/>
      <c r="E26" s="215">
        <f>E23+E24+E25</f>
        <v>8589.3944635033331</v>
      </c>
      <c r="F26" s="215">
        <f t="shared" ref="F26:G26" si="4">F23+F24+F25</f>
        <v>2171.1206984277783</v>
      </c>
      <c r="G26" s="216">
        <f t="shared" si="4"/>
        <v>10760.515161931111</v>
      </c>
    </row>
    <row r="27" spans="2:7" ht="16.5" thickTop="1" thickBot="1" x14ac:dyDescent="0.3">
      <c r="B27" s="17"/>
      <c r="C27" s="217"/>
      <c r="D27" s="10"/>
      <c r="E27" s="10"/>
      <c r="F27" s="10"/>
      <c r="G27" s="5"/>
    </row>
    <row r="28" spans="2:7" ht="15.75" thickBot="1" x14ac:dyDescent="0.3"/>
    <row r="29" spans="2:7" x14ac:dyDescent="0.25">
      <c r="B29" s="218"/>
      <c r="C29" s="219" t="s">
        <v>138</v>
      </c>
      <c r="D29" s="219"/>
      <c r="E29" s="255">
        <f>IF('(A1) Angaben zum Förder-Projekt'!E37=0,0,'(A1) Angaben zum Förder-Projekt'!E35*('(A1) Angaben zum Förder-Projekt'!E41+'(A1) Angaben zum Förder-Projekt'!E42)/'(A1) Angaben zum Förder-Projekt'!E37)</f>
        <v>1343.37</v>
      </c>
      <c r="F29" s="255">
        <f>IF('(A1) Angaben zum Förder-Projekt'!E37=0,0,'(A1) Angaben zum Förder-Projekt'!E36*('(A1) Angaben zum Förder-Projekt'!E41+'(A1) Angaben zum Förder-Projekt'!E42)/'(A1) Angaben zum Förder-Projekt'!E37)</f>
        <v>196.26</v>
      </c>
      <c r="G29" s="256">
        <f>'(A1) Angaben zum Förder-Projekt'!E41+'(A1) Angaben zum Förder-Projekt'!E42</f>
        <v>1539.6299999999999</v>
      </c>
    </row>
    <row r="30" spans="2:7" x14ac:dyDescent="0.25">
      <c r="B30" s="220"/>
      <c r="C30" s="221" t="s">
        <v>131</v>
      </c>
      <c r="D30" s="221"/>
      <c r="E30" s="222">
        <f>IFERROR(E26/E29,"keine Daten")</f>
        <v>6.3939156475902648</v>
      </c>
      <c r="F30" s="222">
        <f>IFERROR(F26/F29,"keine Daten")</f>
        <v>11.062471713175269</v>
      </c>
      <c r="G30" s="223">
        <f>IFERROR(G26/G29,"keine Daten")</f>
        <v>6.9890266894845592</v>
      </c>
    </row>
    <row r="31" spans="2:7" ht="15.75" thickBot="1" x14ac:dyDescent="0.3">
      <c r="B31" s="224"/>
      <c r="C31" s="225" t="s">
        <v>133</v>
      </c>
      <c r="D31" s="225"/>
      <c r="E31" s="257">
        <f>IF(E29=0,E26,E30*'(A1) Angaben zum Förder-Projekt'!E41*'(A1) Angaben zum Förder-Projekt'!E35/'(A1) Angaben zum Förder-Projekt'!E37)</f>
        <v>8589.3944635033331</v>
      </c>
      <c r="F31" s="257">
        <f>IF(F29=0,F26,F30*'(A1) Angaben zum Förder-Projekt'!E41*'(A1) Angaben zum Förder-Projekt'!E36/'(A1) Angaben zum Förder-Projekt'!E37)</f>
        <v>2171.1206984277783</v>
      </c>
      <c r="G31" s="258">
        <f>IF(G29=0,G26,G30*'(A1) Angaben zum Förder-Projekt'!E41)</f>
        <v>10760.515161931111</v>
      </c>
    </row>
    <row r="32" spans="2:7" ht="15.75" thickBot="1" x14ac:dyDescent="0.3"/>
    <row r="33" spans="2:7" ht="15.75" thickBot="1" x14ac:dyDescent="0.3">
      <c r="B33" s="6" t="s">
        <v>12</v>
      </c>
      <c r="C33" s="7"/>
      <c r="D33" s="7"/>
      <c r="E33" s="7"/>
      <c r="F33" s="7"/>
      <c r="G33" s="192"/>
    </row>
    <row r="34" spans="2:7" ht="38.25" x14ac:dyDescent="0.25">
      <c r="B34" s="142"/>
      <c r="C34" s="20"/>
      <c r="D34" s="20"/>
      <c r="E34" s="21" t="s">
        <v>71</v>
      </c>
      <c r="F34" s="21" t="s">
        <v>72</v>
      </c>
      <c r="G34" s="23" t="s">
        <v>73</v>
      </c>
    </row>
    <row r="35" spans="2:7" x14ac:dyDescent="0.25">
      <c r="B35" s="24"/>
      <c r="C35" s="18"/>
      <c r="D35" s="18"/>
      <c r="E35" s="16" t="s">
        <v>6</v>
      </c>
      <c r="F35" s="16" t="s">
        <v>6</v>
      </c>
      <c r="G35" s="25" t="s">
        <v>6</v>
      </c>
    </row>
    <row r="36" spans="2:7" ht="30" x14ac:dyDescent="0.25">
      <c r="B36" s="26"/>
      <c r="C36" s="193" t="s">
        <v>29</v>
      </c>
      <c r="D36" s="193" t="s">
        <v>8</v>
      </c>
      <c r="E36" s="194">
        <f>'(A1) Angaben zum Förder-Projekt'!F50</f>
        <v>30001.993500000004</v>
      </c>
      <c r="F36" s="195"/>
      <c r="G36" s="196">
        <f>E36+F36</f>
        <v>30001.993500000004</v>
      </c>
    </row>
    <row r="37" spans="2:7" ht="30" x14ac:dyDescent="0.25">
      <c r="B37" s="26"/>
      <c r="D37" s="193" t="s">
        <v>9</v>
      </c>
      <c r="E37" s="194">
        <f>'(A1) Angaben zum Förder-Projekt'!G50</f>
        <v>0</v>
      </c>
      <c r="F37" s="194">
        <f>'(A1) Angaben zum Förder-Projekt'!G51</f>
        <v>4483.0565000000006</v>
      </c>
      <c r="G37" s="196">
        <f t="shared" ref="G37:G39" si="5">E37+F37</f>
        <v>4483.0565000000006</v>
      </c>
    </row>
    <row r="38" spans="2:7" x14ac:dyDescent="0.25">
      <c r="B38" s="26"/>
      <c r="D38" s="193" t="s">
        <v>83</v>
      </c>
      <c r="E38" s="194">
        <f>'(A1) Angaben zum Förder-Projekt'!J50</f>
        <v>15000.996750000002</v>
      </c>
      <c r="F38" s="195"/>
      <c r="G38" s="196">
        <f t="shared" si="5"/>
        <v>15000.996750000002</v>
      </c>
    </row>
    <row r="39" spans="2:7" x14ac:dyDescent="0.25">
      <c r="B39" s="197"/>
      <c r="C39" s="198"/>
      <c r="D39" s="15" t="s">
        <v>84</v>
      </c>
      <c r="E39" s="199">
        <f>'(A1) Angaben zum Förder-Projekt'!K50</f>
        <v>4500.2990250000003</v>
      </c>
      <c r="F39" s="200"/>
      <c r="G39" s="201">
        <f t="shared" si="5"/>
        <v>4500.2990250000003</v>
      </c>
    </row>
    <row r="40" spans="2:7" ht="15.75" thickBot="1" x14ac:dyDescent="0.3">
      <c r="B40" s="206"/>
      <c r="C40" s="207" t="s">
        <v>125</v>
      </c>
      <c r="D40" s="208"/>
      <c r="E40" s="215">
        <f>E36+E37</f>
        <v>30001.993500000004</v>
      </c>
      <c r="F40" s="215">
        <f t="shared" ref="F40:G40" si="6">F36+F37</f>
        <v>4483.0565000000006</v>
      </c>
      <c r="G40" s="216">
        <f t="shared" si="6"/>
        <v>34485.050000000003</v>
      </c>
    </row>
    <row r="41" spans="2:7" ht="16.5" thickTop="1" thickBot="1" x14ac:dyDescent="0.3">
      <c r="B41" s="206"/>
      <c r="C41" s="207" t="s">
        <v>126</v>
      </c>
      <c r="D41" s="208"/>
      <c r="E41" s="215">
        <f>E40-E38-E39</f>
        <v>10500.697725000002</v>
      </c>
      <c r="F41" s="215">
        <f t="shared" ref="F41:G41" si="7">F40-F38-F39</f>
        <v>4483.0565000000006</v>
      </c>
      <c r="G41" s="216">
        <f t="shared" si="7"/>
        <v>14983.754225000001</v>
      </c>
    </row>
    <row r="42" spans="2:7" ht="15.75" thickTop="1" x14ac:dyDescent="0.25">
      <c r="B42" s="26"/>
      <c r="D42" s="193" t="s">
        <v>67</v>
      </c>
      <c r="E42" s="194">
        <f>E41/'(Ko) weitere Kostenparameter'!$E$10</f>
        <v>350.02325750000006</v>
      </c>
      <c r="F42" s="194">
        <f>F41/'(Ko) weitere Kostenparameter'!$E$10</f>
        <v>149.43521666666669</v>
      </c>
      <c r="G42" s="196">
        <f>G41/'(Ko) weitere Kostenparameter'!$E$10</f>
        <v>499.45847416666669</v>
      </c>
    </row>
    <row r="43" spans="2:7" x14ac:dyDescent="0.25">
      <c r="B43" s="26"/>
      <c r="D43" s="193" t="s">
        <v>68</v>
      </c>
      <c r="E43" s="194">
        <f>E41/2*'(Ko) weitere Kostenparameter'!$E$8</f>
        <v>226.81507086000005</v>
      </c>
      <c r="F43" s="194">
        <f>F41/2*'(Ko) weitere Kostenparameter'!$E$8</f>
        <v>96.834020400000014</v>
      </c>
      <c r="G43" s="196">
        <f>G41/2*'(Ko) weitere Kostenparameter'!$E$8</f>
        <v>323.64909126000003</v>
      </c>
    </row>
    <row r="44" spans="2:7" x14ac:dyDescent="0.25">
      <c r="B44" s="26"/>
      <c r="D44" s="193" t="s">
        <v>69</v>
      </c>
      <c r="E44" s="199">
        <f>E40*'(Ko) weitere Kostenparameter'!$E$9</f>
        <v>675.04485375000002</v>
      </c>
      <c r="F44" s="199">
        <f>F40*'(Ko) weitere Kostenparameter'!$E$9</f>
        <v>100.86877125000001</v>
      </c>
      <c r="G44" s="201">
        <f>G40*'(Ko) weitere Kostenparameter'!$E$9</f>
        <v>775.91362500000002</v>
      </c>
    </row>
    <row r="45" spans="2:7" ht="15.75" thickBot="1" x14ac:dyDescent="0.3">
      <c r="B45" s="214"/>
      <c r="C45" s="83" t="s">
        <v>85</v>
      </c>
      <c r="D45" s="83"/>
      <c r="E45" s="209">
        <f>E42+E43+E44</f>
        <v>1251.8831821100002</v>
      </c>
      <c r="F45" s="209">
        <f t="shared" ref="F45" si="8">F42+F43+F44</f>
        <v>347.13800831666674</v>
      </c>
      <c r="G45" s="210">
        <f t="shared" ref="G45" si="9">G42+G43+G44</f>
        <v>1599.0211904266666</v>
      </c>
    </row>
    <row r="46" spans="2:7" ht="16.5" thickTop="1" thickBot="1" x14ac:dyDescent="0.3">
      <c r="B46" s="17"/>
      <c r="C46" s="10"/>
      <c r="D46" s="10"/>
      <c r="E46" s="10"/>
      <c r="F46" s="10"/>
      <c r="G46" s="5"/>
    </row>
    <row r="47" spans="2:7" ht="15.75" thickBot="1" x14ac:dyDescent="0.3"/>
    <row r="48" spans="2:7" x14ac:dyDescent="0.25">
      <c r="B48" s="228"/>
      <c r="C48" s="229" t="s">
        <v>130</v>
      </c>
      <c r="D48" s="229"/>
      <c r="E48" s="230">
        <f>E31</f>
        <v>8589.3944635033331</v>
      </c>
      <c r="F48" s="230">
        <f t="shared" ref="F48:G48" si="10">F31</f>
        <v>2171.1206984277783</v>
      </c>
      <c r="G48" s="231">
        <f t="shared" si="10"/>
        <v>10760.515161931111</v>
      </c>
    </row>
    <row r="49" spans="2:7" ht="15.75" thickBot="1" x14ac:dyDescent="0.3">
      <c r="B49" s="232"/>
      <c r="C49" s="233" t="s">
        <v>129</v>
      </c>
      <c r="D49" s="233"/>
      <c r="E49" s="234">
        <f>E45+E48</f>
        <v>9841.2776456133324</v>
      </c>
      <c r="F49" s="234">
        <f>F45+F48</f>
        <v>2518.2587067444451</v>
      </c>
      <c r="G49" s="235">
        <f>G45+G48</f>
        <v>12359.536352357778</v>
      </c>
    </row>
    <row r="50" spans="2:7" ht="15.75" thickTop="1" x14ac:dyDescent="0.25">
      <c r="B50" s="236"/>
      <c r="C50" s="194" t="s">
        <v>139</v>
      </c>
      <c r="D50" s="194"/>
      <c r="E50" s="194">
        <f>IF('(A1) Angaben zum Förder-Projekt'!E52=0,0,'(A1) Angaben zum Förder-Projekt'!E50*('(A1) Angaben zum Förder-Projekt'!E56+'(A1) Angaben zum Förder-Projekt'!E57)/'(A1) Angaben zum Förder-Projekt'!E52)</f>
        <v>26873.856705831917</v>
      </c>
      <c r="F50" s="194">
        <f>IF('(A1) Angaben zum Förder-Projekt'!E52=0,0,'(A1) Angaben zum Förder-Projekt'!E51*('(A1) Angaben zum Förder-Projekt'!E56+'(A1) Angaben zum Förder-Projekt'!E57)/'(A1) Angaben zum Förder-Projekt'!E52)</f>
        <v>3926.1432941680796</v>
      </c>
      <c r="G50" s="196">
        <f>('(A1) Angaben zum Förder-Projekt'!E56+'(A1) Angaben zum Förder-Projekt'!E57)</f>
        <v>30800</v>
      </c>
    </row>
    <row r="51" spans="2:7" x14ac:dyDescent="0.25">
      <c r="B51" s="220"/>
      <c r="C51" s="221" t="s">
        <v>132</v>
      </c>
      <c r="D51" s="221"/>
      <c r="E51" s="222">
        <f>IFERROR(E49/E50,"keine Daten")</f>
        <v>0.36620265387802226</v>
      </c>
      <c r="F51" s="222">
        <f>IFERROR(F49/F50,"keine Daten")</f>
        <v>0.64140774242373788</v>
      </c>
      <c r="G51" s="223">
        <f>IFERROR(G49/G50,"keine Daten")</f>
        <v>0.40128364780382397</v>
      </c>
    </row>
    <row r="52" spans="2:7" ht="15.75" thickBot="1" x14ac:dyDescent="0.3">
      <c r="B52" s="224"/>
      <c r="C52" s="225" t="s">
        <v>134</v>
      </c>
      <c r="D52" s="225"/>
      <c r="E52" s="226">
        <f>IF(E50=0,E49,E51*'(A1) Angaben zum Förder-Projekt'!E56*'(A1) Angaben zum Förder-Projekt'!E50/'(A1) Angaben zum Förder-Projekt'!E52)</f>
        <v>7873.022116490667</v>
      </c>
      <c r="F52" s="226">
        <f>IF(F50=0,F49,F51*'(A1) Angaben zum Förder-Projekt'!E56*'(A1) Angaben zum Förder-Projekt'!E51/'(A1) Angaben zum Förder-Projekt'!E52)</f>
        <v>2014.6069653955562</v>
      </c>
      <c r="G52" s="227">
        <f>IF(G50=0,G49,G51*'(A1) Angaben zum Förder-Projekt'!E56)</f>
        <v>9887.6290818862235</v>
      </c>
    </row>
    <row r="53" spans="2:7" x14ac:dyDescent="0.25">
      <c r="E53" s="237"/>
      <c r="F53" s="237"/>
      <c r="G53" s="237"/>
    </row>
    <row r="54" spans="2:7" x14ac:dyDescent="0.25">
      <c r="E54" s="237"/>
      <c r="F54" s="237"/>
      <c r="G54" s="237"/>
    </row>
    <row r="56" spans="2:7" x14ac:dyDescent="0.25">
      <c r="G56" s="237"/>
    </row>
    <row r="57" spans="2:7" x14ac:dyDescent="0.25">
      <c r="G57" s="237"/>
    </row>
    <row r="59" spans="2:7" x14ac:dyDescent="0.25">
      <c r="E59" s="237"/>
      <c r="F59" s="237"/>
      <c r="G59" s="237"/>
    </row>
  </sheetData>
  <sheetProtection algorithmName="SHA-512" hashValue="ohTMLyV7O6CPlOfNhFtJYmLSp7jlFvhbP2IaOZwGhmJlyd3EddwHr3CP4kgDCBZ7dBz0lLX/53sl+KBtolFUsA==" saltValue="sU+zbh91uu925qZn5GSKBw==" spinCount="100000" sheet="1" objects="1" scenarios="1"/>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D37FB-2595-46E7-8338-CDF4AFD4F357}">
  <dimension ref="A2:J67"/>
  <sheetViews>
    <sheetView showGridLines="0" zoomScale="90" zoomScaleNormal="90" workbookViewId="0">
      <selection activeCell="E23" sqref="E23"/>
    </sheetView>
  </sheetViews>
  <sheetFormatPr baseColWidth="10" defaultColWidth="11.42578125" defaultRowHeight="15" x14ac:dyDescent="0.25"/>
  <cols>
    <col min="1" max="2" width="3.140625" customWidth="1"/>
    <col min="3" max="4" width="44.7109375" customWidth="1"/>
    <col min="5" max="7" width="22.7109375" customWidth="1"/>
  </cols>
  <sheetData>
    <row r="2" spans="1:7" ht="18.75" x14ac:dyDescent="0.25">
      <c r="A2" s="12" t="s">
        <v>90</v>
      </c>
    </row>
    <row r="3" spans="1:7" ht="15.75" x14ac:dyDescent="0.25">
      <c r="B3" s="189" t="s">
        <v>168</v>
      </c>
    </row>
    <row r="4" spans="1:7" ht="15.75" x14ac:dyDescent="0.25">
      <c r="B4" s="190" t="s">
        <v>242</v>
      </c>
    </row>
    <row r="5" spans="1:7" ht="15.75" thickBot="1" x14ac:dyDescent="0.3"/>
    <row r="6" spans="1:7" ht="15.75" thickBot="1" x14ac:dyDescent="0.3">
      <c r="B6" s="6" t="s">
        <v>12</v>
      </c>
      <c r="C6" s="7"/>
      <c r="D6" s="7"/>
      <c r="E6" s="7"/>
      <c r="F6" s="7"/>
      <c r="G6" s="192"/>
    </row>
    <row r="7" spans="1:7" ht="38.25" x14ac:dyDescent="0.25">
      <c r="B7" s="142"/>
      <c r="C7" s="20"/>
      <c r="D7" s="20"/>
      <c r="E7" s="21" t="s">
        <v>71</v>
      </c>
      <c r="F7" s="21" t="s">
        <v>72</v>
      </c>
      <c r="G7" s="23" t="s">
        <v>73</v>
      </c>
    </row>
    <row r="8" spans="1:7" x14ac:dyDescent="0.25">
      <c r="B8" s="24"/>
      <c r="C8" s="18"/>
      <c r="D8" s="18"/>
      <c r="E8" s="16" t="s">
        <v>6</v>
      </c>
      <c r="F8" s="16" t="s">
        <v>6</v>
      </c>
      <c r="G8" s="25" t="s">
        <v>6</v>
      </c>
    </row>
    <row r="9" spans="1:7" ht="30" x14ac:dyDescent="0.25">
      <c r="B9" s="26"/>
      <c r="C9" s="193" t="s">
        <v>41</v>
      </c>
      <c r="D9" s="193" t="s">
        <v>8</v>
      </c>
      <c r="E9" s="194">
        <f>'(A1) Angaben zum Förder-Projekt'!F63</f>
        <v>50447.872200000005</v>
      </c>
      <c r="F9" s="195"/>
      <c r="G9" s="196">
        <f>E9+F9</f>
        <v>50447.872200000005</v>
      </c>
    </row>
    <row r="10" spans="1:7" ht="30" x14ac:dyDescent="0.25">
      <c r="B10" s="26"/>
      <c r="D10" s="193" t="s">
        <v>9</v>
      </c>
      <c r="E10" s="194">
        <f>'(A1) Angaben zum Förder-Projekt'!G63</f>
        <v>0</v>
      </c>
      <c r="F10" s="194">
        <f>'(A1) Angaben zum Förder-Projekt'!G64</f>
        <v>7538.1878000000006</v>
      </c>
      <c r="G10" s="196">
        <f t="shared" ref="G10:G12" si="0">E10+F10</f>
        <v>7538.1878000000006</v>
      </c>
    </row>
    <row r="11" spans="1:7" x14ac:dyDescent="0.25">
      <c r="B11" s="26"/>
      <c r="D11" s="193" t="s">
        <v>83</v>
      </c>
      <c r="E11" s="194">
        <f>'(A1) Angaben zum Förder-Projekt'!J63</f>
        <v>25223.936100000003</v>
      </c>
      <c r="F11" s="195"/>
      <c r="G11" s="196">
        <f t="shared" si="0"/>
        <v>25223.936100000003</v>
      </c>
    </row>
    <row r="12" spans="1:7" x14ac:dyDescent="0.25">
      <c r="B12" s="197"/>
      <c r="C12" s="198"/>
      <c r="D12" s="15" t="s">
        <v>84</v>
      </c>
      <c r="E12" s="199">
        <f>'(A1) Angaben zum Förder-Projekt'!K63</f>
        <v>7567.1808300000002</v>
      </c>
      <c r="F12" s="200"/>
      <c r="G12" s="201">
        <f t="shared" si="0"/>
        <v>7567.1808300000002</v>
      </c>
    </row>
    <row r="13" spans="1:7" ht="15.75" thickBot="1" x14ac:dyDescent="0.3">
      <c r="B13" s="206"/>
      <c r="C13" s="207" t="s">
        <v>143</v>
      </c>
      <c r="D13" s="208"/>
      <c r="E13" s="215">
        <f>E9+E10</f>
        <v>50447.872200000005</v>
      </c>
      <c r="F13" s="215">
        <f t="shared" ref="F13:G13" si="1">F9+F10</f>
        <v>7538.1878000000006</v>
      </c>
      <c r="G13" s="215">
        <f t="shared" si="1"/>
        <v>57986.060000000005</v>
      </c>
    </row>
    <row r="14" spans="1:7" ht="16.5" thickTop="1" thickBot="1" x14ac:dyDescent="0.3">
      <c r="B14" s="206"/>
      <c r="C14" s="207" t="s">
        <v>142</v>
      </c>
      <c r="D14" s="208"/>
      <c r="E14" s="215">
        <f>E13-E11-E12</f>
        <v>17656.755270000001</v>
      </c>
      <c r="F14" s="215">
        <f t="shared" ref="F14:G14" si="2">F13-F11-F12</f>
        <v>7538.1878000000006</v>
      </c>
      <c r="G14" s="215">
        <f t="shared" si="2"/>
        <v>25194.943070000001</v>
      </c>
    </row>
    <row r="15" spans="1:7" ht="15.75" thickTop="1" x14ac:dyDescent="0.25">
      <c r="B15" s="26"/>
      <c r="D15" s="193" t="s">
        <v>67</v>
      </c>
      <c r="E15" s="194">
        <f>E14/'(Ko) weitere Kostenparameter'!$E$11</f>
        <v>882.83776350000005</v>
      </c>
      <c r="F15" s="194">
        <f>F14/'(Ko) weitere Kostenparameter'!$E$11</f>
        <v>376.90939000000003</v>
      </c>
      <c r="G15" s="196">
        <f>G14/'(Ko) weitere Kostenparameter'!$E$11</f>
        <v>1259.7471535</v>
      </c>
    </row>
    <row r="16" spans="1:7" x14ac:dyDescent="0.25">
      <c r="B16" s="26"/>
      <c r="D16" s="193" t="s">
        <v>68</v>
      </c>
      <c r="E16" s="194">
        <f>E14/2*'(Ko) weitere Kostenparameter'!$E$8</f>
        <v>381.38591383200003</v>
      </c>
      <c r="F16" s="194">
        <f>F14/2*'(Ko) weitere Kostenparameter'!$E$8</f>
        <v>162.82485648000002</v>
      </c>
      <c r="G16" s="196">
        <f>G14/2*'(Ko) weitere Kostenparameter'!$E$8</f>
        <v>544.21077031200002</v>
      </c>
    </row>
    <row r="17" spans="2:7" x14ac:dyDescent="0.25">
      <c r="B17" s="26"/>
      <c r="D17" s="193" t="s">
        <v>69</v>
      </c>
      <c r="E17" s="199">
        <f>E13*'(Ko) weitere Kostenparameter'!$E$9</f>
        <v>1135.0771245000001</v>
      </c>
      <c r="F17" s="199">
        <f>F13*'(Ko) weitere Kostenparameter'!$E$9</f>
        <v>169.60922550000001</v>
      </c>
      <c r="G17" s="201">
        <f>G13*'(Ko) weitere Kostenparameter'!$E$9</f>
        <v>1304.6863500000002</v>
      </c>
    </row>
    <row r="18" spans="2:7" ht="15.75" thickBot="1" x14ac:dyDescent="0.3">
      <c r="B18" s="214"/>
      <c r="C18" s="83" t="s">
        <v>86</v>
      </c>
      <c r="D18" s="83"/>
      <c r="E18" s="209">
        <f>E15+E16+E17</f>
        <v>2399.3008018320002</v>
      </c>
      <c r="F18" s="209">
        <f t="shared" ref="F18:G18" si="3">F15+F16+F17</f>
        <v>709.34347198</v>
      </c>
      <c r="G18" s="210">
        <f t="shared" si="3"/>
        <v>3108.6442738120004</v>
      </c>
    </row>
    <row r="19" spans="2:7" ht="16.5" thickTop="1" thickBot="1" x14ac:dyDescent="0.3">
      <c r="B19" s="17"/>
      <c r="C19" s="10"/>
      <c r="D19" s="10"/>
      <c r="E19" s="10"/>
      <c r="F19" s="10"/>
      <c r="G19" s="5"/>
    </row>
    <row r="20" spans="2:7" ht="15.75" thickBot="1" x14ac:dyDescent="0.3"/>
    <row r="21" spans="2:7" x14ac:dyDescent="0.25">
      <c r="B21" s="228"/>
      <c r="C21" s="229" t="s">
        <v>146</v>
      </c>
      <c r="D21" s="229"/>
      <c r="E21" s="230">
        <f>'(K1) Kalk. (Leer-)Rohrstrecken'!E52</f>
        <v>7873.022116490667</v>
      </c>
      <c r="F21" s="230">
        <f>'(K1) Kalk. (Leer-)Rohrstrecken'!F52</f>
        <v>2014.6069653955562</v>
      </c>
      <c r="G21" s="231">
        <f>'(K1) Kalk. (Leer-)Rohrstrecken'!G52</f>
        <v>9887.6290818862235</v>
      </c>
    </row>
    <row r="22" spans="2:7" ht="15.75" thickBot="1" x14ac:dyDescent="0.3">
      <c r="B22" s="232"/>
      <c r="C22" s="233" t="s">
        <v>135</v>
      </c>
      <c r="D22" s="233"/>
      <c r="E22" s="234">
        <f>E18+E21</f>
        <v>10272.322918322667</v>
      </c>
      <c r="F22" s="234">
        <f>F18+F21</f>
        <v>2723.9504373755562</v>
      </c>
      <c r="G22" s="235">
        <f>G18+G21</f>
        <v>12996.273355698224</v>
      </c>
    </row>
    <row r="23" spans="2:7" ht="15.75" thickTop="1" x14ac:dyDescent="0.25">
      <c r="B23" s="236"/>
      <c r="C23" s="194" t="s">
        <v>140</v>
      </c>
      <c r="D23" s="194"/>
      <c r="E23" s="194">
        <f>IFERROR('(A1) Angaben zum Förder-Projekt'!E63*('(A1) Angaben zum Förder-Projekt'!E69+'(A1) Angaben zum Förder-Projekt'!E70)/'(A1) Angaben zum Förder-Projekt'!E65,"keine Daten")</f>
        <v>386983.53656397964</v>
      </c>
      <c r="F23" s="194">
        <f>IFERROR('(A1) Angaben zum Förder-Projekt'!E64*('(A1) Angaben zum Förder-Projekt'!E69+'(A1) Angaben zum Förder-Projekt'!E70)/'(A1) Angaben zum Förder-Projekt'!E65,"keine Daten")</f>
        <v>56536.463436020349</v>
      </c>
      <c r="G23" s="196">
        <f>('(A1) Angaben zum Förder-Projekt'!E69+'(A1) Angaben zum Förder-Projekt'!E70)</f>
        <v>443520</v>
      </c>
    </row>
    <row r="24" spans="2:7" x14ac:dyDescent="0.25">
      <c r="B24" s="220"/>
      <c r="C24" s="221" t="s">
        <v>136</v>
      </c>
      <c r="D24" s="221"/>
      <c r="E24" s="222">
        <f>IFERROR(E22/E23,"keine Daten")</f>
        <v>2.654459931171866E-2</v>
      </c>
      <c r="F24" s="222">
        <f>IFERROR(F22/F23,"keine Daten")</f>
        <v>4.8180417943158443E-2</v>
      </c>
      <c r="G24" s="223">
        <f>IFERROR(G22/G23,"keine Daten")</f>
        <v>2.9302564384240223E-2</v>
      </c>
    </row>
    <row r="25" spans="2:7" x14ac:dyDescent="0.25">
      <c r="B25" s="220"/>
      <c r="C25" s="221" t="s">
        <v>137</v>
      </c>
      <c r="D25" s="221"/>
      <c r="E25" s="222">
        <f>IFERROR(E24*2,"keine Daten")</f>
        <v>5.308919862343732E-2</v>
      </c>
      <c r="F25" s="222">
        <f>IFERROR(F24*2,"keine Daten")</f>
        <v>9.6360835886316887E-2</v>
      </c>
      <c r="G25" s="223">
        <f>IFERROR(G24*2,"keine Daten")</f>
        <v>5.8605128768480445E-2</v>
      </c>
    </row>
    <row r="26" spans="2:7" ht="15.75" thickBot="1" x14ac:dyDescent="0.3">
      <c r="B26" s="224"/>
      <c r="C26" s="225" t="s">
        <v>198</v>
      </c>
      <c r="D26" s="225"/>
      <c r="E26" s="226">
        <f>IFERROR(E24*'(A1) Angaben zum Förder-Projekt'!E69*'(A1) Angaben zum Förder-Projekt'!E63/'(A1) Angaben zum Förder-Projekt'!E65,E22)</f>
        <v>8274.9267953154813</v>
      </c>
      <c r="F26" s="226">
        <f>IFERROR(F24*'(A1) Angaben zum Förder-Projekt'!E69*'(A1) Angaben zum Förder-Projekt'!E64/'(A1) Angaben zum Förder-Projekt'!E65,F22)</f>
        <v>2194.2934078858648</v>
      </c>
      <c r="G26" s="227">
        <f>IFERROR(G24*'(A1) Angaben zum Förder-Projekt'!E69,G22)</f>
        <v>10469.220203201347</v>
      </c>
    </row>
    <row r="54" spans="9:10" x14ac:dyDescent="0.25">
      <c r="I54" s="238"/>
      <c r="J54" s="239"/>
    </row>
    <row r="67" spans="7:9" x14ac:dyDescent="0.25">
      <c r="G67" s="119"/>
      <c r="H67" s="119"/>
      <c r="I67" s="119"/>
    </row>
  </sheetData>
  <sheetProtection algorithmName="SHA-512" hashValue="XlZkLj1els8vctVHDWxXWQEJ2gFcbAk/JwQe7UDafdRjF+ReIaXKuZgnjkVODgxB6WMKrXtWIEzmZBQDAayL0Q==" saltValue="Fb2W5xACo8brLF1XRyC7nQ==" spinCount="100000" sheet="1" objects="1" scenarios="1"/>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AA56-3A47-406B-A613-7ACCA3188A7C}">
  <dimension ref="A2:G8"/>
  <sheetViews>
    <sheetView showGridLines="0" zoomScale="90" zoomScaleNormal="90" workbookViewId="0"/>
  </sheetViews>
  <sheetFormatPr baseColWidth="10" defaultColWidth="11.42578125" defaultRowHeight="15" x14ac:dyDescent="0.25"/>
  <cols>
    <col min="1" max="2" width="3.5703125" customWidth="1"/>
    <col min="3" max="4" width="44.85546875" customWidth="1"/>
    <col min="5" max="7" width="22.7109375" customWidth="1"/>
  </cols>
  <sheetData>
    <row r="2" spans="1:7" ht="18.75" x14ac:dyDescent="0.25">
      <c r="A2" s="12" t="s">
        <v>87</v>
      </c>
    </row>
    <row r="3" spans="1:7" ht="15.75" x14ac:dyDescent="0.25">
      <c r="B3" s="189" t="s">
        <v>243</v>
      </c>
    </row>
    <row r="4" spans="1:7" ht="15.75" x14ac:dyDescent="0.25">
      <c r="B4" s="190" t="s">
        <v>242</v>
      </c>
    </row>
    <row r="5" spans="1:7" ht="15.75" thickBot="1" x14ac:dyDescent="0.3"/>
    <row r="6" spans="1:7" ht="31.5" customHeight="1" x14ac:dyDescent="0.25">
      <c r="B6" s="228"/>
      <c r="C6" s="286" t="s">
        <v>145</v>
      </c>
      <c r="D6" s="286"/>
      <c r="E6" s="240">
        <f>'(K2) Kalk. Glasfaserstrecken'!E26</f>
        <v>8274.9267953154813</v>
      </c>
      <c r="F6" s="240">
        <f>'(K2) Kalk. Glasfaserstrecken'!F26</f>
        <v>2194.2934078858648</v>
      </c>
      <c r="G6" s="241">
        <f>'(K2) Kalk. Glasfaserstrecken'!G26</f>
        <v>10469.220203201347</v>
      </c>
    </row>
    <row r="7" spans="1:7" x14ac:dyDescent="0.25">
      <c r="B7" s="236"/>
      <c r="C7" s="194" t="s">
        <v>141</v>
      </c>
      <c r="D7" s="194"/>
      <c r="E7" s="194"/>
      <c r="F7" s="194"/>
      <c r="G7" s="196">
        <f>'(A1) Angaben zum Förder-Projekt'!L13</f>
        <v>6.6</v>
      </c>
    </row>
    <row r="8" spans="1:7" ht="15.75" thickBot="1" x14ac:dyDescent="0.3">
      <c r="B8" s="242"/>
      <c r="C8" s="243" t="s">
        <v>144</v>
      </c>
      <c r="D8" s="243"/>
      <c r="E8" s="244"/>
      <c r="F8" s="244"/>
      <c r="G8" s="245">
        <f>IFERROR(G6/G7,"keine Daten")</f>
        <v>1586.2454853335375</v>
      </c>
    </row>
  </sheetData>
  <sheetProtection algorithmName="SHA-512" hashValue="giC/KLjIaAz5fYbyC/GU9BnVv6ZueX3v5e6lliXqhRU1QHe6KL8uXsxHiZ/Udo+Y16Vr73hC0u9RPxxNxV+nhg==" saltValue="tYmCzucGaf7+rKuXpww/6g==" spinCount="100000" sheet="1" objects="1" scenarios="1"/>
  <mergeCells count="1">
    <mergeCell ref="C6:D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D1526-2816-4D5A-9C41-B63969DA836F}">
  <dimension ref="A2:G23"/>
  <sheetViews>
    <sheetView showGridLines="0" zoomScale="90" zoomScaleNormal="90" workbookViewId="0">
      <selection activeCell="G21" sqref="G21"/>
    </sheetView>
  </sheetViews>
  <sheetFormatPr baseColWidth="10" defaultColWidth="11.42578125" defaultRowHeight="15" x14ac:dyDescent="0.25"/>
  <cols>
    <col min="1" max="2" width="3.5703125" customWidth="1"/>
    <col min="3" max="4" width="44.85546875" customWidth="1"/>
    <col min="5" max="7" width="22.7109375" customWidth="1"/>
  </cols>
  <sheetData>
    <row r="2" spans="1:7" ht="18.75" x14ac:dyDescent="0.25">
      <c r="A2" s="12" t="s">
        <v>147</v>
      </c>
    </row>
    <row r="3" spans="1:7" ht="15.75" x14ac:dyDescent="0.25">
      <c r="B3" s="189" t="s">
        <v>241</v>
      </c>
    </row>
    <row r="4" spans="1:7" ht="15.75" x14ac:dyDescent="0.25">
      <c r="B4" s="190" t="s">
        <v>242</v>
      </c>
    </row>
    <row r="5" spans="1:7" ht="15.75" thickBot="1" x14ac:dyDescent="0.3"/>
    <row r="6" spans="1:7" ht="15.75" thickBot="1" x14ac:dyDescent="0.3">
      <c r="B6" s="6" t="s">
        <v>54</v>
      </c>
      <c r="C6" s="7"/>
      <c r="D6" s="7"/>
      <c r="E6" s="7"/>
      <c r="F6" s="7"/>
      <c r="G6" s="192"/>
    </row>
    <row r="7" spans="1:7" ht="38.25" x14ac:dyDescent="0.25">
      <c r="B7" s="142"/>
      <c r="C7" s="20"/>
      <c r="D7" s="20"/>
      <c r="E7" s="21" t="s">
        <v>71</v>
      </c>
      <c r="F7" s="21" t="s">
        <v>72</v>
      </c>
      <c r="G7" s="23" t="s">
        <v>73</v>
      </c>
    </row>
    <row r="8" spans="1:7" x14ac:dyDescent="0.25">
      <c r="B8" s="24"/>
      <c r="C8" s="18"/>
      <c r="D8" s="18"/>
      <c r="E8" s="16" t="s">
        <v>6</v>
      </c>
      <c r="F8" s="16" t="s">
        <v>6</v>
      </c>
      <c r="G8" s="25" t="s">
        <v>6</v>
      </c>
    </row>
    <row r="9" spans="1:7" ht="30" x14ac:dyDescent="0.25">
      <c r="B9" s="26"/>
      <c r="C9" s="193" t="s">
        <v>54</v>
      </c>
      <c r="D9" s="193" t="s">
        <v>8</v>
      </c>
      <c r="E9" s="246">
        <f>'(A1) Angaben zum Förder-Projekt'!F78</f>
        <v>0</v>
      </c>
      <c r="F9" s="195"/>
      <c r="G9" s="247">
        <f>E9+F9</f>
        <v>0</v>
      </c>
    </row>
    <row r="10" spans="1:7" ht="30" x14ac:dyDescent="0.25">
      <c r="B10" s="26"/>
      <c r="D10" s="193" t="s">
        <v>9</v>
      </c>
      <c r="E10" s="194">
        <f>'(A1) Angaben zum Förder-Projekt'!G78</f>
        <v>2488.86</v>
      </c>
      <c r="F10" s="194">
        <f>'(A1) Angaben zum Förder-Projekt'!G79</f>
        <v>1290.52</v>
      </c>
      <c r="G10" s="196">
        <f>E10+F10</f>
        <v>3779.38</v>
      </c>
    </row>
    <row r="11" spans="1:7" x14ac:dyDescent="0.25">
      <c r="B11" s="26"/>
      <c r="D11" s="193" t="s">
        <v>83</v>
      </c>
      <c r="E11" s="246">
        <f>'(A1) Angaben zum Förder-Projekt'!J78</f>
        <v>0</v>
      </c>
      <c r="F11" s="195"/>
      <c r="G11" s="247">
        <f t="shared" ref="G11:G12" si="0">E11+F11</f>
        <v>0</v>
      </c>
    </row>
    <row r="12" spans="1:7" x14ac:dyDescent="0.25">
      <c r="B12" s="197"/>
      <c r="C12" s="198"/>
      <c r="D12" s="15" t="s">
        <v>84</v>
      </c>
      <c r="E12" s="248">
        <f>'(A1) Angaben zum Förder-Projekt'!K78</f>
        <v>0</v>
      </c>
      <c r="F12" s="200"/>
      <c r="G12" s="249">
        <f t="shared" si="0"/>
        <v>0</v>
      </c>
    </row>
    <row r="13" spans="1:7" ht="15.75" thickBot="1" x14ac:dyDescent="0.3">
      <c r="B13" s="206"/>
      <c r="C13" s="207" t="s">
        <v>88</v>
      </c>
      <c r="D13" s="208"/>
      <c r="E13" s="215">
        <f>E9+E10-E11-E12</f>
        <v>2488.86</v>
      </c>
      <c r="F13" s="215">
        <f>F9+F10-F11-F12</f>
        <v>1290.52</v>
      </c>
      <c r="G13" s="216">
        <f>G9+G10-G11-G12</f>
        <v>3779.38</v>
      </c>
    </row>
    <row r="14" spans="1:7" ht="15.75" thickTop="1" x14ac:dyDescent="0.25">
      <c r="B14" s="26"/>
      <c r="D14" s="193" t="s">
        <v>67</v>
      </c>
      <c r="E14" s="194">
        <f>E13/'(Ko) weitere Kostenparameter'!$E$12</f>
        <v>311.10750000000002</v>
      </c>
      <c r="F14" s="194">
        <f>F13/'(Ko) weitere Kostenparameter'!$E$12</f>
        <v>161.315</v>
      </c>
      <c r="G14" s="196">
        <f>G13/'(Ko) weitere Kostenparameter'!$E$12</f>
        <v>472.42250000000001</v>
      </c>
    </row>
    <row r="15" spans="1:7" x14ac:dyDescent="0.25">
      <c r="B15" s="26"/>
      <c r="D15" s="193" t="s">
        <v>68</v>
      </c>
      <c r="E15" s="194">
        <f>E13/2*'(Ko) weitere Kostenparameter'!$E$8</f>
        <v>53.759376000000003</v>
      </c>
      <c r="F15" s="194">
        <f>F13/2*'(Ko) weitere Kostenparameter'!$E$8</f>
        <v>27.875232</v>
      </c>
      <c r="G15" s="196">
        <f>G13/2*'(Ko) weitere Kostenparameter'!$E$8</f>
        <v>81.634608</v>
      </c>
    </row>
    <row r="16" spans="1:7" x14ac:dyDescent="0.25">
      <c r="B16" s="26"/>
      <c r="D16" s="193" t="s">
        <v>69</v>
      </c>
      <c r="E16" s="199">
        <f>E13*'(Ko) weitere Kostenparameter'!$E$9</f>
        <v>55.99935</v>
      </c>
      <c r="F16" s="199">
        <f>F13*'(Ko) weitere Kostenparameter'!$E$9</f>
        <v>29.0367</v>
      </c>
      <c r="G16" s="201">
        <f>G13*'(Ko) weitere Kostenparameter'!$E$9</f>
        <v>85.036050000000003</v>
      </c>
    </row>
    <row r="17" spans="2:7" ht="15.75" thickBot="1" x14ac:dyDescent="0.3">
      <c r="B17" s="214"/>
      <c r="C17" s="83" t="s">
        <v>89</v>
      </c>
      <c r="D17" s="83"/>
      <c r="E17" s="209">
        <f>E14+E15+E16</f>
        <v>420.86622600000004</v>
      </c>
      <c r="F17" s="209">
        <f t="shared" ref="F17:G17" si="1">F14+F15+F16</f>
        <v>218.22693200000001</v>
      </c>
      <c r="G17" s="210">
        <f t="shared" si="1"/>
        <v>639.09315800000002</v>
      </c>
    </row>
    <row r="18" spans="2:7" ht="16.5" thickTop="1" thickBot="1" x14ac:dyDescent="0.3">
      <c r="B18" s="17"/>
      <c r="C18" s="10"/>
      <c r="D18" s="10"/>
      <c r="E18" s="10"/>
      <c r="F18" s="10"/>
      <c r="G18" s="5"/>
    </row>
    <row r="19" spans="2:7" ht="15.75" thickBot="1" x14ac:dyDescent="0.3"/>
    <row r="20" spans="2:7" ht="32.25" customHeight="1" x14ac:dyDescent="0.25">
      <c r="B20" s="228"/>
      <c r="C20" s="286" t="s">
        <v>145</v>
      </c>
      <c r="D20" s="286"/>
      <c r="E20" s="240">
        <f>'(K2) Kalk. Glasfaserstrecken'!E26</f>
        <v>8274.9267953154813</v>
      </c>
      <c r="F20" s="240">
        <f>'(K2) Kalk. Glasfaserstrecken'!F26</f>
        <v>2194.2934078858648</v>
      </c>
      <c r="G20" s="241">
        <f>'(K2) Kalk. Glasfaserstrecken'!G26</f>
        <v>10469.220203201347</v>
      </c>
    </row>
    <row r="21" spans="2:7" x14ac:dyDescent="0.25">
      <c r="B21" s="250"/>
      <c r="C21" s="251" t="s">
        <v>148</v>
      </c>
      <c r="D21" s="251"/>
      <c r="E21" s="252">
        <f>E17+E20</f>
        <v>8695.7930213154814</v>
      </c>
      <c r="F21" s="252">
        <f t="shared" ref="F21:G21" si="2">F17+F20</f>
        <v>2412.5203398858648</v>
      </c>
      <c r="G21" s="253">
        <f t="shared" si="2"/>
        <v>11108.313361201346</v>
      </c>
    </row>
    <row r="22" spans="2:7" x14ac:dyDescent="0.25">
      <c r="B22" s="236"/>
      <c r="C22" s="194" t="s">
        <v>141</v>
      </c>
      <c r="D22" s="194"/>
      <c r="E22" s="194"/>
      <c r="F22" s="194"/>
      <c r="G22" s="196">
        <f>'(A1) Angaben zum Förder-Projekt'!L13</f>
        <v>6.6</v>
      </c>
    </row>
    <row r="23" spans="2:7" ht="15.75" thickBot="1" x14ac:dyDescent="0.3">
      <c r="B23" s="242"/>
      <c r="C23" s="243" t="s">
        <v>165</v>
      </c>
      <c r="D23" s="243"/>
      <c r="E23" s="244"/>
      <c r="F23" s="244"/>
      <c r="G23" s="245">
        <f>IFERROR(G21/G22,"keine Daten")</f>
        <v>1683.077782000204</v>
      </c>
    </row>
  </sheetData>
  <sheetProtection algorithmName="SHA-512" hashValue="pqjAW684nntEOLOc2oMJPTWeMk7a9WF7q5Mt86hrm4hNhIgDauHbSupr0V0OpzIlVtx+xmSu+wk7n45LCUoMKA==" saltValue="s2eBrF/Q4ZQYjOCHfW1ctQ==" spinCount="100000" sheet="1" objects="1" scenarios="1"/>
  <mergeCells count="1">
    <mergeCell ref="C20:D20"/>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 Erläuterungen &amp; Ergebnisse</vt:lpstr>
      <vt:lpstr>(A1) Angaben zum Förder-Projekt</vt:lpstr>
      <vt:lpstr>(A2) Angaben Kollokationsfläche</vt:lpstr>
      <vt:lpstr>(Ko) weitere Kostenparameter</vt:lpstr>
      <vt:lpstr>(K1) Kalk. (Leer-)Rohrstrecken</vt:lpstr>
      <vt:lpstr>(K2) Kalk. Glasfaserstrecken</vt:lpstr>
      <vt:lpstr>(K3) Kalk. TLN-Zugang passiv</vt:lpstr>
      <vt:lpstr>(K4) Kalk. TLN-Zugang aktiv</vt:lpstr>
    </vt:vector>
  </TitlesOfParts>
  <Company>RTR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BBA2030 Standardangebot-Kostenkalkulation</dc:title>
  <dc:subject>BBA 2030 Standardangebotskalkulation</dc:subject>
  <dc:creator>Bernd Hartl</dc:creator>
  <cp:keywords>BBA 2030</cp:keywords>
  <dc:description>Excelvorlage zur Berechnung von Preisen für die verpflichtenden Standardangebote im Rahmen der Breitbandförderung BBA2030</dc:description>
  <cp:lastModifiedBy>Edith Stelzl</cp:lastModifiedBy>
  <dcterms:created xsi:type="dcterms:W3CDTF">2023-11-13T10:31:30Z</dcterms:created>
  <dcterms:modified xsi:type="dcterms:W3CDTF">2025-02-05T09:20:41Z</dcterms:modified>
  <cp:category>Zugang zu FTTH/B-Netzen</cp:category>
  <cp:contentStatus>Übermittlung RTR an BMF</cp:contentStatus>
</cp:coreProperties>
</file>